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9720" windowHeight="7320" tabRatio="911" activeTab="0"/>
  </bookViews>
  <sheets>
    <sheet name="2005Season" sheetId="1" r:id="rId1"/>
    <sheet name="2005Spring" sheetId="2" r:id="rId2"/>
    <sheet name="2005RaceWeek" sheetId="3" r:id="rId3"/>
    <sheet name="2005Summer" sheetId="4" r:id="rId4"/>
    <sheet name="2005PollyAnn" sheetId="5" r:id="rId5"/>
    <sheet name="2005Nationals" sheetId="6" r:id="rId6"/>
    <sheet name="2005Memorial" sheetId="7" r:id="rId7"/>
    <sheet name="2005Districts" sheetId="8" r:id="rId8"/>
    <sheet name="2005YRA" sheetId="9" r:id="rId9"/>
    <sheet name="2005NOOD" sheetId="10" r:id="rId10"/>
    <sheet name="MostImproved" sheetId="11" r:id="rId11"/>
    <sheet name="S-Boat" sheetId="12" r:id="rId12"/>
    <sheet name="Etchells" sheetId="13" r:id="rId13"/>
    <sheet name="IOD" sheetId="14" r:id="rId14"/>
    <sheet name="YRA_Regatta" sheetId="15" r:id="rId15"/>
    <sheet name="2004Season" sheetId="16" r:id="rId16"/>
    <sheet name="2004RaceWeek" sheetId="17" r:id="rId17"/>
    <sheet name="2004MidSummer" sheetId="18" r:id="rId18"/>
    <sheet name="2005Independence" sheetId="19" r:id="rId19"/>
    <sheet name="2005OneDesign" sheetId="20" r:id="rId20"/>
    <sheet name="2004OneDesign" sheetId="21" r:id="rId21"/>
    <sheet name="2005Crew" sheetId="22" r:id="rId22"/>
    <sheet name="2004Crew" sheetId="23" r:id="rId23"/>
    <sheet name="2004LaborDay" sheetId="24" r:id="rId24"/>
    <sheet name="2005ColumbusDay" sheetId="25" r:id="rId25"/>
    <sheet name="2004ColumbusDay" sheetId="26" r:id="rId26"/>
    <sheet name="CS_Table" sheetId="27" r:id="rId27"/>
    <sheet name="2005Rules" sheetId="28" r:id="rId28"/>
    <sheet name="Notes" sheetId="29" r:id="rId29"/>
    <sheet name="Boats and Owners" sheetId="30" r:id="rId30"/>
  </sheets>
  <definedNames>
    <definedName name="cs_table">'CS_Table'!#REF!</definedName>
    <definedName name="csg_table">'CS_Table'!$B$19:$U$38</definedName>
    <definedName name="LISYRA_table">'CS_Table'!$B$45:$U$64</definedName>
  </definedNames>
  <calcPr fullCalcOnLoad="1"/>
</workbook>
</file>

<file path=xl/sharedStrings.xml><?xml version="1.0" encoding="utf-8"?>
<sst xmlns="http://schemas.openxmlformats.org/spreadsheetml/2006/main" count="1753" uniqueCount="581">
  <si>
    <t>Course:</t>
  </si>
  <si>
    <t>Wind Direction:</t>
  </si>
  <si>
    <t>Wind Strength:</t>
  </si>
  <si>
    <t>Starters:</t>
  </si>
  <si>
    <t>Starts</t>
  </si>
  <si>
    <t>Discards</t>
  </si>
  <si>
    <t>C-S Score</t>
  </si>
  <si>
    <t xml:space="preserve"> </t>
  </si>
  <si>
    <t>A boat must participate in 50% of races for her score to be considered for the Season Championship.</t>
  </si>
  <si>
    <t>Any boat that crosses the starting line then withdraws is scored one point worse than the number of starters.</t>
  </si>
  <si>
    <t>Scores will be tabulated by the Fleet Scorer and posted to the website shortly after each regatta.</t>
  </si>
  <si>
    <t>Cox-Sprague scoring system recommended by Y.R.A. of L.I.S, modified as described below will be used.</t>
  </si>
  <si>
    <t xml:space="preserve">In each race the number of starters will determine the column to be used in the table below, and each boat will be credited </t>
  </si>
  <si>
    <t>with the number of points indicated for her finishing place. A boat's series score shall be her "Percentage of Perfection" calculated by dividing</t>
  </si>
  <si>
    <t>her total points scored by the total points she would have had, had she won every race in which she started. A boat which does not finish</t>
  </si>
  <si>
    <t xml:space="preserve"> or is disqualified in a race shall receive a score for the place one greater than the number of starters in that race using the next </t>
  </si>
  <si>
    <t>column in the table to determine the number of points.</t>
  </si>
  <si>
    <t>20 or more</t>
  </si>
  <si>
    <t>*</t>
  </si>
  <si>
    <t>For finishing place n &gt; 20 the points are awarded as follows:</t>
  </si>
  <si>
    <t xml:space="preserve">n_points = 59 - 2*log(n-19) </t>
  </si>
  <si>
    <t>This program computes a series score for a yacht participating in a series</t>
  </si>
  <si>
    <t xml:space="preserve"> of n races with m discards using the modified Cox-Sprague Scoring System.</t>
  </si>
  <si>
    <t xml:space="preserve"> Proprietary Notice:</t>
  </si>
  <si>
    <t xml:space="preserve"> This software was developed by Witold Gesing.</t>
  </si>
  <si>
    <t xml:space="preserve"> This software may be copied and re-distributed freely.</t>
  </si>
  <si>
    <t>The (uncorrected) LISYRA C-S scoring table assigns 40% score to a boat finishing</t>
  </si>
  <si>
    <t xml:space="preserve">second in a two boat race. This is a much worse score than any other </t>
  </si>
  <si>
    <t>in the LISYRA C-S table (for example a boat finishing 20th in a 20 boat race</t>
  </si>
  <si>
    <t>receives a  score of 59%). As the result of this,</t>
  </si>
  <si>
    <t>the LISYRA C-S scoring system may result in incorrect ranking of boats if there</t>
  </si>
  <si>
    <t>Here are some examples of what can go wrong when the uncorrected LISYRA table is used:</t>
  </si>
  <si>
    <t xml:space="preserve">Example 1: </t>
  </si>
  <si>
    <t>Using LISYRA Cox-Sprague Scoring System</t>
  </si>
  <si>
    <t>Using Modified Cox-Sprague Scoring System</t>
  </si>
  <si>
    <t>LIS YRA</t>
  </si>
  <si>
    <t>CSG</t>
  </si>
  <si>
    <t>Boat A</t>
  </si>
  <si>
    <t>Boat B</t>
  </si>
  <si>
    <t>Boat C</t>
  </si>
  <si>
    <t>Boat D</t>
  </si>
  <si>
    <t>In this example boat B which finishes second in 3 races with 2 starters</t>
  </si>
  <si>
    <t>receives Cox-Sprague "percentage-of-perfection" score of 40%, well behind</t>
  </si>
  <si>
    <t>boats C and D which finish second and third respectively in three races with</t>
  </si>
  <si>
    <t>3 starters.  If the 4 points assigned for the second place in a two boat</t>
  </si>
  <si>
    <t>race is changed to 7, Boat B's score would be 70% and the other scores would</t>
  </si>
  <si>
    <t>be unchanged. This would place Boat B behind Boat C which finished second in</t>
  </si>
  <si>
    <t>races with three starters and slightly ahead of Boat D which finished last</t>
  </si>
  <si>
    <t>in these races.</t>
  </si>
  <si>
    <t>Example 2:</t>
  </si>
  <si>
    <t>LISYRA</t>
  </si>
  <si>
    <t>In this example Boat B manages to sail in one more race and finishes true to</t>
  </si>
  <si>
    <t>form second, beating boats C and D in the process. We now have a situation</t>
  </si>
  <si>
    <t>in which Boat B with four  second place finishes is ranked behind not only</t>
  </si>
  <si>
    <t>Boat C which has 3,2 and 2 but also behind the hapless boat D which always</t>
  </si>
  <si>
    <t>finishes last. With the suggested correction boat B's score changes to 79.5%</t>
  </si>
  <si>
    <t>and as before the other scores are not affected, resulting in a more</t>
  </si>
  <si>
    <t>intuitive ranking {A,B,C,D}, with B and C virtually tied for second.</t>
  </si>
  <si>
    <t>Example 3.</t>
  </si>
  <si>
    <t>This example is added to illustrate how ties are broken</t>
  </si>
  <si>
    <t xml:space="preserve">between boats with identical results. </t>
  </si>
  <si>
    <t>Here A and B have identical finishing records of  three firsts and two seconds and under</t>
  </si>
  <si>
    <t xml:space="preserve"> YRA Season</t>
  </si>
  <si>
    <t>Qualification:</t>
  </si>
  <si>
    <t>50% of starts on YRA schedule</t>
  </si>
  <si>
    <t>Throw Outs:</t>
  </si>
  <si>
    <t>1 after 10 starts; 2 after 20 starts, 3 after 30 starts</t>
  </si>
  <si>
    <t>Scoring:</t>
  </si>
  <si>
    <t>Cox/Sprague</t>
  </si>
  <si>
    <t>Prizes:</t>
  </si>
  <si>
    <t>Fleet 1  Season</t>
  </si>
  <si>
    <t>40% of starts on YRA schedule</t>
  </si>
  <si>
    <t>1 after 10 starts; 2 after 20 starts, 3 after 30</t>
  </si>
  <si>
    <t xml:space="preserve">Spring Series </t>
  </si>
  <si>
    <t>50% of starts on YRA schedule prior to LYC Race Week</t>
  </si>
  <si>
    <t>1 after 10 starts; 2 after 20 starts</t>
  </si>
  <si>
    <t>50% of starts on YRA schedule after LYC Race Week</t>
  </si>
  <si>
    <t>Polly Ann Series</t>
  </si>
  <si>
    <t>Throw outs:</t>
  </si>
  <si>
    <t>Cox/Sprague using series results</t>
  </si>
  <si>
    <t>Other Prizes</t>
  </si>
  <si>
    <t>Van Buren Memorial Trophy</t>
  </si>
  <si>
    <t>Hoke Simpson Memorial Trophy</t>
  </si>
  <si>
    <t>Most Improved</t>
  </si>
  <si>
    <t>Polly Ann Trophy:</t>
  </si>
  <si>
    <t>A</t>
  </si>
  <si>
    <t>B</t>
  </si>
  <si>
    <t>C</t>
  </si>
  <si>
    <t>D</t>
  </si>
  <si>
    <t>E</t>
  </si>
  <si>
    <t>Larchmont Memorial Day Regatta</t>
  </si>
  <si>
    <t>American Independence Day regatta</t>
  </si>
  <si>
    <t>Larchmont Race Week</t>
  </si>
  <si>
    <t>Larchmont Columbus Day Regatta</t>
  </si>
  <si>
    <t>DNS</t>
  </si>
  <si>
    <t>Race 1</t>
  </si>
  <si>
    <t>Race 2</t>
  </si>
  <si>
    <t>Race 3</t>
  </si>
  <si>
    <t>Total</t>
  </si>
  <si>
    <t>L4</t>
  </si>
  <si>
    <t>Scoring: Cox/Sprague using series results</t>
  </si>
  <si>
    <t>The Polly Ann trophy series consists of:</t>
  </si>
  <si>
    <t>Participation in at least 3 of the 5 events is requred to qualify.</t>
  </si>
  <si>
    <t>DNF</t>
  </si>
  <si>
    <t>Spring Series</t>
  </si>
  <si>
    <t>Summer Series</t>
  </si>
  <si>
    <t>Race 4</t>
  </si>
  <si>
    <t>38      Jean Pierre Jabart/Alain Concher</t>
  </si>
  <si>
    <t>117     Michael Katz/Bill Gollner</t>
  </si>
  <si>
    <t>221     Michael Carr</t>
  </si>
  <si>
    <t xml:space="preserve">Shields Fleet  -  Sailed: 4  Discards: 0 </t>
  </si>
  <si>
    <t>One discard if 4 or 5 events sailed.</t>
  </si>
  <si>
    <t>One if four or five series sailed</t>
  </si>
  <si>
    <t>Memorial Day Regatta</t>
  </si>
  <si>
    <t>Unofficial</t>
  </si>
  <si>
    <t xml:space="preserve">Qualification:  </t>
  </si>
  <si>
    <t>AYC</t>
  </si>
  <si>
    <t>LYC</t>
  </si>
  <si>
    <t xml:space="preserve"> Independence Day </t>
  </si>
  <si>
    <t>YRA One Design</t>
  </si>
  <si>
    <t>District Championships</t>
  </si>
  <si>
    <t>25      Fred Werblow</t>
  </si>
  <si>
    <t>106     Jamie McCreary</t>
  </si>
  <si>
    <t>49      Greg Davis</t>
  </si>
  <si>
    <t>70      Roland Schulz/Berenice</t>
  </si>
  <si>
    <t>41      Tim Sawyer</t>
  </si>
  <si>
    <t>142     Justin Gibbons</t>
  </si>
  <si>
    <t>16      Tom Sanford</t>
  </si>
  <si>
    <t>26      Kevin Hynes</t>
  </si>
  <si>
    <t>pierre.albouy@us.rothschild.com</t>
  </si>
  <si>
    <t>sanford@lbbslaw.com</t>
  </si>
  <si>
    <t>mail@peterhancock.com</t>
  </si>
  <si>
    <t>shields25c@aol.com</t>
  </si>
  <si>
    <t>khynes@netcraftsmen.net</t>
  </si>
  <si>
    <t>jjabart@us.loreal.com</t>
  </si>
  <si>
    <t>tsawyer@barrlabs.com</t>
  </si>
  <si>
    <t>gregory.w.davis@ge.com</t>
  </si>
  <si>
    <t>neil.meyer@drkw.com</t>
  </si>
  <si>
    <t>Roland.Schulz@wellsfargo.com</t>
  </si>
  <si>
    <t>LGSInc@aol.com</t>
  </si>
  <si>
    <t>MKatz@etrade.com</t>
  </si>
  <si>
    <t>justin.gibbons@americas.bnpparibas.com</t>
  </si>
  <si>
    <t>gmat@mindspring.com</t>
  </si>
  <si>
    <t>SkipMcGoo@aol.com</t>
  </si>
  <si>
    <t>ed.yocum@cit.com</t>
  </si>
  <si>
    <t>tkoits@aol.com</t>
  </si>
  <si>
    <t>thedukester36@aol.com</t>
  </si>
  <si>
    <t>hdevore@prudentpublishing.com</t>
  </si>
  <si>
    <t>wggollner1@optonline.net</t>
  </si>
  <si>
    <t>eorecchia@nyc.rr.com</t>
  </si>
  <si>
    <t>pmassey@masseyknakal.com</t>
  </si>
  <si>
    <t>slandis@fhifs.com</t>
  </si>
  <si>
    <t>aconcher@us.loreal.com</t>
  </si>
  <si>
    <t>cirfontaine@optonline.net</t>
  </si>
  <si>
    <t>Shields Long Island Sound District Championship Regatta</t>
  </si>
  <si>
    <t>Final Results</t>
  </si>
  <si>
    <t>Place</t>
  </si>
  <si>
    <t>Sail No.</t>
  </si>
  <si>
    <t>Owner</t>
  </si>
  <si>
    <t>Fleet</t>
  </si>
  <si>
    <t>Race 5</t>
  </si>
  <si>
    <t>Larchmont</t>
  </si>
  <si>
    <t>Fred Werblow</t>
  </si>
  <si>
    <t>Wayne Marciano</t>
  </si>
  <si>
    <t>Skip McGuire</t>
  </si>
  <si>
    <t>OCS</t>
  </si>
  <si>
    <t>DNC</t>
  </si>
  <si>
    <t>5-12</t>
  </si>
  <si>
    <t>5-10</t>
  </si>
  <si>
    <t>182    Skip McGuire</t>
  </si>
  <si>
    <t>182 Skip McGuire</t>
  </si>
  <si>
    <t>142 Justin Gibbons</t>
  </si>
  <si>
    <t>Carr, Mike</t>
  </si>
  <si>
    <t>Lorentzen/Kingham/Ferrarone/Lennon</t>
  </si>
  <si>
    <t>McCreary, Jamie</t>
  </si>
  <si>
    <t>McCreary/MacClellan</t>
  </si>
  <si>
    <t>Werblow, Fred</t>
  </si>
  <si>
    <t>Gesing/Cardozo/McCabe</t>
  </si>
  <si>
    <t>McGuire, Skip</t>
  </si>
  <si>
    <t>Davis / Beardsley</t>
  </si>
  <si>
    <t>Crocker / Rogoff/Santee</t>
  </si>
  <si>
    <t>Monte-Sano, Bizzy</t>
  </si>
  <si>
    <t>Katz, Michael</t>
  </si>
  <si>
    <t>Gerety, Bill</t>
  </si>
  <si>
    <t>Gibbons, Justin</t>
  </si>
  <si>
    <t>Yocum/Massey</t>
  </si>
  <si>
    <t>Lyons/Lyons/Landis/Costello</t>
  </si>
  <si>
    <t>Orecchia, Emilio</t>
  </si>
  <si>
    <t>Bingham/Schibli/Deambrosio</t>
  </si>
  <si>
    <t>Sarfes/ Sarfas/Langley</t>
  </si>
  <si>
    <t>Hynes, Kevin</t>
  </si>
  <si>
    <t>Meyer, Neil</t>
  </si>
  <si>
    <t>Larchmont Yacht Club 106'th Race Week</t>
  </si>
  <si>
    <t>July 17-18 and July 24-25, 2004</t>
  </si>
  <si>
    <t>Crew</t>
  </si>
  <si>
    <t>Sail #</t>
  </si>
  <si>
    <t>Race 6</t>
  </si>
  <si>
    <t>Race 7</t>
  </si>
  <si>
    <t>Race 8</t>
  </si>
  <si>
    <t>DeVore, HL</t>
  </si>
  <si>
    <t>Schultz, Roland</t>
  </si>
  <si>
    <t>deCirfontaines/Gilhodes</t>
  </si>
  <si>
    <t>Sawyer, Tim</t>
  </si>
  <si>
    <t>Weisenfluh/Weisenfluh/Csenge</t>
  </si>
  <si>
    <t>Takata/Henderson</t>
  </si>
  <si>
    <t>Official Results</t>
  </si>
  <si>
    <t xml:space="preserve">176     Greg Takata/Doug Campbell/Andrew Wertheim </t>
  </si>
  <si>
    <t>Campbell/Takata/Wertheim</t>
  </si>
  <si>
    <t>Jean Pierre Jabart/Alain Concher</t>
  </si>
  <si>
    <t>Michael Katz/Bill Gollner</t>
  </si>
  <si>
    <t>Greg Takata / Doug Campbell / Andrew Wertheim</t>
  </si>
  <si>
    <t>Michael Carr</t>
  </si>
  <si>
    <t>Pierre Albouy</t>
  </si>
  <si>
    <t>Roland Schulz/Berenice</t>
  </si>
  <si>
    <t>Justin Gibbons</t>
  </si>
  <si>
    <t>Thomas O'Brien</t>
  </si>
  <si>
    <t>Peter Hancock</t>
  </si>
  <si>
    <t>Kevin Hynes</t>
  </si>
  <si>
    <t>Greg Davis</t>
  </si>
  <si>
    <t>Neil Meyer</t>
  </si>
  <si>
    <t>Jamie McCreary</t>
  </si>
  <si>
    <t>Tom Sanford</t>
  </si>
  <si>
    <t>Tim Sawyer</t>
  </si>
  <si>
    <t>Ed Yocum/Paul Massey</t>
  </si>
  <si>
    <t>HL DeVore</t>
  </si>
  <si>
    <t xml:space="preserve">Independence Day Regatta, </t>
  </si>
  <si>
    <t xml:space="preserve">American Yacht Club, </t>
  </si>
  <si>
    <t>Owners</t>
  </si>
  <si>
    <t>E-mail</t>
  </si>
  <si>
    <t>http://www.larchmontyc.org/racing/2004-RW-one-design-results-3.html</t>
  </si>
  <si>
    <t>Full results at:</t>
  </si>
  <si>
    <t xml:space="preserve">Mid Summer Regatta, </t>
  </si>
  <si>
    <t>August 7-8, 2004</t>
  </si>
  <si>
    <t>RAF</t>
  </si>
  <si>
    <t>RAF - Retired After Finishing:  25 and 38 retired after finishing after being informed that they rounded a wrong windward mark.</t>
  </si>
  <si>
    <t>W3</t>
  </si>
  <si>
    <t>August 28-29, 2004</t>
  </si>
  <si>
    <t>183     Paul Massey</t>
  </si>
  <si>
    <t>YRALIS One-Design Championship</t>
  </si>
  <si>
    <t>Net</t>
  </si>
  <si>
    <t>1st</t>
  </si>
  <si>
    <t>Carr, Michael</t>
  </si>
  <si>
    <t>2nd</t>
  </si>
  <si>
    <t>3rd</t>
  </si>
  <si>
    <t>Davis/ Beardsley</t>
  </si>
  <si>
    <t>4th</t>
  </si>
  <si>
    <t>DeVore, H.L.</t>
  </si>
  <si>
    <t>5th</t>
  </si>
  <si>
    <t>6th</t>
  </si>
  <si>
    <t>7th</t>
  </si>
  <si>
    <t>8th</t>
  </si>
  <si>
    <t>9th</t>
  </si>
  <si>
    <t>10th</t>
  </si>
  <si>
    <t>11th</t>
  </si>
  <si>
    <t xml:space="preserve">Greg Takata/Doug Campbell/Andrew Wertheim </t>
  </si>
  <si>
    <r>
      <t>Shields Fleet</t>
    </r>
    <r>
      <rPr>
        <sz val="8"/>
        <rFont val="Arial"/>
        <family val="0"/>
      </rPr>
      <t>  -  Sailed: 1  Discards: 0  Ratings: None</t>
    </r>
  </si>
  <si>
    <t>Sail</t>
  </si>
  <si>
    <t>Larchmont Yacht Club</t>
  </si>
  <si>
    <t>Labor Day Regatta</t>
  </si>
  <si>
    <t>http://www.larchmontyc.org/racing/2004-Labor-Day-Results-1.htm</t>
  </si>
  <si>
    <t>September 4-5, 2004</t>
  </si>
  <si>
    <t>YC</t>
  </si>
  <si>
    <t>Shields Crew Race</t>
  </si>
  <si>
    <t>Phillips Johnston</t>
  </si>
  <si>
    <t>Chris Cardozo, Witold Gesing</t>
  </si>
  <si>
    <t>Philippe Houze</t>
  </si>
  <si>
    <t>Alex Davidson</t>
  </si>
  <si>
    <t>Chris Palmieri</t>
  </si>
  <si>
    <t>Bill Gerety</t>
  </si>
  <si>
    <t>Berenice de Germay de Cirfontaine</t>
  </si>
  <si>
    <t>Kevin Santee</t>
  </si>
  <si>
    <t>Patrick Leonard</t>
  </si>
  <si>
    <t>Skipper(s)</t>
  </si>
  <si>
    <t>Margaret Takata</t>
  </si>
  <si>
    <t>12th</t>
  </si>
  <si>
    <t>13th</t>
  </si>
  <si>
    <t>14th</t>
  </si>
  <si>
    <t>15th</t>
  </si>
  <si>
    <t>Columbus Day Regatta</t>
  </si>
  <si>
    <t>October 9-10, 2004</t>
  </si>
  <si>
    <t>Edgartown</t>
  </si>
  <si>
    <t>Campbell/Takata/Werthiem</t>
  </si>
  <si>
    <t>Roland Schulz.</t>
  </si>
  <si>
    <t>16th</t>
  </si>
  <si>
    <t>17th</t>
  </si>
  <si>
    <t>Warren Vose</t>
  </si>
  <si>
    <t>David Sarfas</t>
  </si>
  <si>
    <t>Tim  Walsh</t>
  </si>
  <si>
    <t>Kevin Hynes / Vic Onet</t>
  </si>
  <si>
    <t xml:space="preserve">Final Results </t>
  </si>
  <si>
    <r>
      <t>Shields Fleet</t>
    </r>
    <r>
      <rPr>
        <sz val="8"/>
        <rFont val="Arial"/>
        <family val="0"/>
      </rPr>
      <t>  -  Sailed: 5  Discards: 1</t>
    </r>
  </si>
  <si>
    <t>No Entry</t>
  </si>
  <si>
    <t>http://www.starclass.org/search.cgi?Action=view&amp;Event_id=388</t>
  </si>
  <si>
    <t>Full Results and Reports:</t>
  </si>
  <si>
    <t>http://www.larchmontyc.org/racing/2004-Columbus-Day-results2.htm</t>
  </si>
  <si>
    <t xml:space="preserve"> 25 Fred Werblow</t>
  </si>
  <si>
    <t>221 Mike Carr</t>
  </si>
  <si>
    <t>106 H.L. DeVore</t>
  </si>
  <si>
    <t xml:space="preserve"> 38 J.P. Jabart/ Alain Concher</t>
  </si>
  <si>
    <t xml:space="preserve"> 70 Roland Schulz</t>
  </si>
  <si>
    <t xml:space="preserve"> 49 Greg Davis</t>
  </si>
  <si>
    <t>197 Tom O'Brien</t>
  </si>
  <si>
    <t>183 Yocum/Massey/Landis</t>
  </si>
  <si>
    <t>2004/2003</t>
  </si>
  <si>
    <t>Cox-Spague Season Scores</t>
  </si>
  <si>
    <t>Boat and Owner</t>
  </si>
  <si>
    <t>Shields Fleet 1 2005 L.I.S. YRA Race Results</t>
  </si>
  <si>
    <t>Memorial Day Regatta: Larchmont Yacht Club, May 29-30, 2005</t>
  </si>
  <si>
    <t>Davis/Santee</t>
  </si>
  <si>
    <t>Crocker/Weisenfluh</t>
  </si>
  <si>
    <t>Weblow,Fred</t>
  </si>
  <si>
    <t>Dailey/Monte-Sano</t>
  </si>
  <si>
    <t>Yocum/Oen</t>
  </si>
  <si>
    <t>Gibbons,Justin</t>
  </si>
  <si>
    <t>Schulz,Roland</t>
  </si>
  <si>
    <t>O'Brien,Tom</t>
  </si>
  <si>
    <t>McGuire,Skip</t>
  </si>
  <si>
    <t>Katz/Gollner</t>
  </si>
  <si>
    <t>Albouy,Pierre</t>
  </si>
  <si>
    <t>Shields Fleet 1 Scoring for 2005:</t>
  </si>
  <si>
    <t>IOD</t>
  </si>
  <si>
    <t>Greg Davis / Santee</t>
  </si>
  <si>
    <t>L2</t>
  </si>
  <si>
    <t>W5</t>
  </si>
  <si>
    <t>DSQ</t>
  </si>
  <si>
    <t>J. Ganson Evans</t>
  </si>
  <si>
    <t>Peter Kallman</t>
  </si>
  <si>
    <t>William Denslow</t>
  </si>
  <si>
    <t>June 25-26, 2005</t>
  </si>
  <si>
    <t>Seawanhaka</t>
  </si>
  <si>
    <t>Garvies Point</t>
  </si>
  <si>
    <t>Roland Schulz</t>
  </si>
  <si>
    <t>Greg Davis / Kevin Santee</t>
  </si>
  <si>
    <t>Greg Takata/Doug Campbell/Andrew Wertheim</t>
  </si>
  <si>
    <t>YRA-LIS One Design Championship</t>
  </si>
  <si>
    <t>The series consists of the Larchmont Memorial Day Regatta, The American Independence Day Regatta, LYC Race Week, The YRA-LIS One Design Championship and the Larchmont Columbus Weekend Regatta.  Participation in at least three of the series is required.</t>
  </si>
  <si>
    <t>Summer Series (All starts after the Larchmont Race Week)</t>
  </si>
  <si>
    <t>July 2-3, 2005</t>
  </si>
  <si>
    <t>As of July 4, 2005</t>
  </si>
  <si>
    <t>http://www.larchmontyc.org/Race_Committee/2005_RWSR_OD_RST.pdf</t>
  </si>
  <si>
    <t>Carr,Mike</t>
  </si>
  <si>
    <t>KurtWeisenfluh,ComCrocker</t>
  </si>
  <si>
    <t>Hynes,Kevin</t>
  </si>
  <si>
    <t>Davis,Greg</t>
  </si>
  <si>
    <t>Sawyer,Tim</t>
  </si>
  <si>
    <t>Concher/Jabart</t>
  </si>
  <si>
    <t>Orecchia</t>
  </si>
  <si>
    <t>MikeKatz,BillGolliner</t>
  </si>
  <si>
    <t>Johnson,Tor</t>
  </si>
  <si>
    <t>July 16-17 and July 23-24, 2005</t>
  </si>
  <si>
    <t>Larchmont Yacht Club 107'th Race Week</t>
  </si>
  <si>
    <t>DeVore,HL</t>
  </si>
  <si>
    <t>Schulz/deCirfontaine</t>
  </si>
  <si>
    <t>S-Boats</t>
  </si>
  <si>
    <t>August 27-28, 2005</t>
  </si>
  <si>
    <t>YRA One Design Championships</t>
  </si>
  <si>
    <r>
      <t> </t>
    </r>
    <r>
      <rPr>
        <b/>
        <sz val="8"/>
        <color indexed="63"/>
        <rFont val="Verdana"/>
        <family val="2"/>
      </rPr>
      <t>Division: Shields</t>
    </r>
  </si>
  <si>
    <t>Boat</t>
  </si>
  <si>
    <t>Skipper</t>
  </si>
  <si>
    <t>R1</t>
  </si>
  <si>
    <t>R2</t>
  </si>
  <si>
    <t>Checkmate</t>
  </si>
  <si>
    <t>Grace</t>
  </si>
  <si>
    <t>Rascal</t>
  </si>
  <si>
    <t>Lady</t>
  </si>
  <si>
    <t>Syrinx</t>
  </si>
  <si>
    <t>Cornelia</t>
  </si>
  <si>
    <t>Katherine</t>
  </si>
  <si>
    <t>Lure</t>
  </si>
  <si>
    <t>Knot Yet</t>
  </si>
  <si>
    <t>Coquetta</t>
  </si>
  <si>
    <t>Deja Vu</t>
  </si>
  <si>
    <t>Mermaid</t>
  </si>
  <si>
    <t>White Rabbit</t>
  </si>
  <si>
    <t>Yankee Girl</t>
  </si>
  <si>
    <t>Tango</t>
  </si>
  <si>
    <t>R3</t>
  </si>
  <si>
    <t>R4</t>
  </si>
  <si>
    <t>Burnham, John</t>
  </si>
  <si>
    <t>Berry, William</t>
  </si>
  <si>
    <t>Crocker, Com</t>
  </si>
  <si>
    <t>Dailey, Rob</t>
  </si>
  <si>
    <t>Wertheim, Andrew</t>
  </si>
  <si>
    <t>Down Town Bonanza</t>
  </si>
  <si>
    <t>Palmieri, Chris</t>
  </si>
  <si>
    <t>William E Tuthill</t>
  </si>
  <si>
    <t>O'Brien, Tom</t>
  </si>
  <si>
    <t>Gollner, Bill</t>
  </si>
  <si>
    <t>Jervis, Wayne</t>
  </si>
  <si>
    <t>Teborek, Kevin</t>
  </si>
  <si>
    <t>Schulz, Roland</t>
  </si>
  <si>
    <t>Robbins, Richard</t>
  </si>
  <si>
    <t>Havoc</t>
  </si>
  <si>
    <t>Larchmont NOOD Regatta Results</t>
  </si>
  <si>
    <t>http://www.sailingworld.com/article.jsp?ID=38676&amp;typeID=403&amp;catID=604&amp;exclude=NOOD</t>
  </si>
  <si>
    <t>Full regatta results at:</t>
  </si>
  <si>
    <t>September 10-11, 2005</t>
  </si>
  <si>
    <t>Boats participating in the NOOD regatta received 1 start credit</t>
  </si>
  <si>
    <t>Newport YC</t>
  </si>
  <si>
    <t>Pope,Jonathan</t>
  </si>
  <si>
    <t>Beverly YC</t>
  </si>
  <si>
    <t>Larchmont YC</t>
  </si>
  <si>
    <t>Gowell,John</t>
  </si>
  <si>
    <t>Conanicut YC</t>
  </si>
  <si>
    <t>Klien,Tim</t>
  </si>
  <si>
    <t>Edgartown YC</t>
  </si>
  <si>
    <t>Berry,Bill</t>
  </si>
  <si>
    <t>Werblow,Fred</t>
  </si>
  <si>
    <t>Monk,Robin</t>
  </si>
  <si>
    <t>Ida Lewis YC</t>
  </si>
  <si>
    <t>Mason Is. YC</t>
  </si>
  <si>
    <t>Teborek,Kevin</t>
  </si>
  <si>
    <t>Chicago YC</t>
  </si>
  <si>
    <t>Jervis,Wayne</t>
  </si>
  <si>
    <t>Robbins,Richard</t>
  </si>
  <si>
    <t>Yacht Club</t>
  </si>
  <si>
    <t>http://www.larchmontyc.org/Race_Committee/2005_SHNAT_RST.pdf</t>
  </si>
  <si>
    <t>40'th Annual Shields Nationals</t>
  </si>
  <si>
    <t>September 15-17, 2005</t>
  </si>
  <si>
    <t>R5</t>
  </si>
  <si>
    <t>YRA of LIS Shields Crew Race- September 24, 2005</t>
  </si>
  <si>
    <t>Upon arrival at LYC at noon the water outside the breakwater was white with big seas. It looked like it might be a gear buster. By the time of the start of racing the wind had backed off, but there was still a bit of rough water. As the afternoon wore on, both the wind and seas clamed down.</t>
  </si>
  <si>
    <t>The following five Shields ventured forth from the harbor into the rough seas and breeze to participate with the following skippers:</t>
  </si>
  <si>
    <t xml:space="preserve">            Rascal  #23          Chris Folley and Scott Wenzler</t>
  </si>
  <si>
    <t xml:space="preserve">            Tailsman #38        Eric Jabart</t>
  </si>
  <si>
    <t xml:space="preserve">                       #54            Neil Meyer (crew from #70)</t>
  </si>
  <si>
    <t xml:space="preserve">            Katherine #176     Mike Puleo</t>
  </si>
  <si>
    <t>The first race was L4, one mile and Neil Meyer won by over 5 1/2 minutes in front of Mike Puleo followed closely in 15 seconds by Stephane Lautner and 13 seconds behind him was Chris Folley. Eric Jabart was great to have raced and headed home after rounding the last windward mark.</t>
  </si>
  <si>
    <t>By the time the second race started for the Shields the wind had moved to the south east and was very light; so the course was L2, 3/4 mile. The finish was very close as Stephane Lautner was across the line 15 seconds ahead of Mike Puleo. 22 seconds after came Neil Meyer followed by Scott Wenzler.</t>
  </si>
  <si>
    <t>The overall results showed a three way tie with Stephane Lautner, Neil Meyer and Mike Puleo all with 4 points. As both Stephane and Neil had first places whereas Mike didn't, that created another tie which was broken as Stephen beat Neil in the last race.</t>
  </si>
  <si>
    <t>Accordingly, the final results are:</t>
  </si>
  <si>
    <t xml:space="preserve">    !. Stephane Lautner</t>
  </si>
  <si>
    <t xml:space="preserve">   2. Neil Meyer</t>
  </si>
  <si>
    <t xml:space="preserve">   3. Mike Puleo</t>
  </si>
  <si>
    <t xml:space="preserve">   4. Chris Folley and Scott Wenzler</t>
  </si>
  <si>
    <t xml:space="preserve">   5. Eric Jabart</t>
  </si>
  <si>
    <t>Congratulations to the skippers who raced in the 2005 Shields Fleet #1 Crew Race and to those owners who encouraged these skippers and lent their boats to them.</t>
  </si>
  <si>
    <t>The following sailors stayed off the race course and did a superb job in conducting the regatta:</t>
  </si>
  <si>
    <t xml:space="preserve">    Chris Cardozo</t>
  </si>
  <si>
    <t xml:space="preserve">    Alain Concher</t>
  </si>
  <si>
    <t xml:space="preserve">    Com Crocker</t>
  </si>
  <si>
    <t xml:space="preserve">    Justin Gibbons</t>
  </si>
  <si>
    <t>Tim Sawyer kindly lent his power boat to help conduct the regatta and LYC RC Chair Cynthia Parthemos provided much need advise and equipment to the Shields Race Committee before they left the dock</t>
  </si>
  <si>
    <t>Respectfully submitted,</t>
  </si>
  <si>
    <t>Acting Shields RC Chairman.</t>
  </si>
  <si>
    <t>Chris Folley and Scott Wenzler</t>
  </si>
  <si>
    <t>Eric Jabart</t>
  </si>
  <si>
    <t>Stephane Lautner</t>
  </si>
  <si>
    <t>Mike Puelo</t>
  </si>
  <si>
    <t xml:space="preserve">            Havoc #41            Stephane Lautner</t>
  </si>
  <si>
    <t>Boats running and participating in the Crew Race received 1 start credit</t>
  </si>
  <si>
    <t>Weisenfluh,Kurt;Crocker,Com</t>
  </si>
  <si>
    <t>Parry,W,Scott</t>
  </si>
  <si>
    <t>Baer,Reed; Burnham,John</t>
  </si>
  <si>
    <t>Coles,Mallory; Shoemaker,Charles</t>
  </si>
  <si>
    <t>Monte-Sano,Bizzy; Dailey,Rob</t>
  </si>
  <si>
    <t>DeVore,H L</t>
  </si>
  <si>
    <t>Maurus,Bob; Roberts,Kim</t>
  </si>
  <si>
    <t>Massey,Paul; Yocum,Ed</t>
  </si>
  <si>
    <t>Katz,MIke; Gollner,Bill</t>
  </si>
  <si>
    <r>
      <t>Cox-Sprague Scoring System</t>
    </r>
    <r>
      <rPr>
        <b/>
        <u val="single"/>
        <sz val="10"/>
        <rFont val="Arial"/>
        <family val="0"/>
      </rPr>
      <t xml:space="preserve"> </t>
    </r>
  </si>
  <si>
    <r>
      <t>Fleet 1 Season Scoring</t>
    </r>
    <r>
      <rPr>
        <b/>
        <sz val="10"/>
        <rFont val="Arial"/>
        <family val="0"/>
      </rPr>
      <t xml:space="preserve"> </t>
    </r>
  </si>
  <si>
    <t>A boat will be allowed to discard one off her starts for every 10 races sailed to the maximum of 3.</t>
  </si>
  <si>
    <t>Columbus</t>
  </si>
  <si>
    <t>Bill Barry</t>
  </si>
  <si>
    <t>October 8-9, 2005</t>
  </si>
  <si>
    <t>Shields Fleet</t>
  </si>
  <si>
    <t>system published in the LISYRA handbook:</t>
  </si>
  <si>
    <t>This change only affects the boats which were disqualified (DSQ, OCS) and the boats that did not finish (DNF).</t>
  </si>
  <si>
    <t xml:space="preserve">2) The score for boats that finish worse than 20 is computed using a formula which results in scores ranging from </t>
  </si>
  <si>
    <t xml:space="preserve">by the LISYRA version in which the 21'st place gets a score of 58% and subsequent scores decrease </t>
  </si>
  <si>
    <t>by 1% per place. For large fleets this would result in negative scores for boats finishing 80'th or higher.</t>
  </si>
  <si>
    <t>This change only affects races with more than 20 participants.</t>
  </si>
  <si>
    <t>3) The score for a boat that finishes second in a two boat race has been changed from 40% to 70%.</t>
  </si>
  <si>
    <t>This is more consistent with the 67.7% score assigned to a boat that finishes third in a three boat</t>
  </si>
  <si>
    <t>This change only affects races with exactly 2 participants.</t>
  </si>
  <si>
    <t>are one or more races in which there are only 2 starters.</t>
  </si>
  <si>
    <t>both systems B is ahead, as she should be, by winning races with more starters.</t>
  </si>
  <si>
    <t>race and a 59% score assigned to the boat that finishes last in a 20 boat race.</t>
  </si>
  <si>
    <t xml:space="preserve">1) The sub-diagonal of the Cox-Sprague table containing the DNF and DSQ scores is removed. </t>
  </si>
  <si>
    <t xml:space="preserve">The DNF and DSQ are awarded a score for a place equal to the number of starters plus one </t>
  </si>
  <si>
    <t>obtained from the column of the CSG table for number of starters plus one.  This change was</t>
  </si>
  <si>
    <t>for the boats that fail to finish or are disqualified than the original Cox-Sprague system.</t>
  </si>
  <si>
    <t>made for consistency with the current YRA scoring systems and is much less punishing</t>
  </si>
  <si>
    <t>Examples:</t>
  </si>
  <si>
    <t>Explanation of modifications to the LISYRA Cox-Sprague scoring system:</t>
  </si>
  <si>
    <t>There are three differences between the modified Cox-Sprague Scoring System and the Cox-Sprague Scoring</t>
  </si>
  <si>
    <t>Com Crocker/ Kurt Weisenfluh</t>
  </si>
  <si>
    <t>Score</t>
  </si>
  <si>
    <t xml:space="preserve"> finish ranging 70% to 59% in races with 20 or fewer boats than the scores assigned </t>
  </si>
  <si>
    <t>This is more in line with the rest of the CS table which assigns scores for the last place</t>
  </si>
  <si>
    <t xml:space="preserve">58.4% for the 21'st place to 54.5% for the 200'th place. </t>
  </si>
  <si>
    <t>Discards:</t>
  </si>
  <si>
    <t>Modified Cox-Sprague Scoring System:</t>
  </si>
  <si>
    <t xml:space="preserve">or is disqualified in a race shall receive a score for the place one greater than the number of starters in that race using the next </t>
  </si>
  <si>
    <t xml:space="preserve"> To protect the innocent, please clearly identify and document any changes, improvements, modifications or additions.</t>
  </si>
  <si>
    <t xml:space="preserve"> If there is more than one discard, this process is repeated using the remaining race results.</t>
  </si>
  <si>
    <t>greatest improvement in the resulting C-S score is discarted and the improved C-S score is returned.</t>
  </si>
  <si>
    <t>If one of the results is to be discarded in computing the boat's series score, the race result whose removal results in the</t>
  </si>
  <si>
    <t>Unofficial*</t>
  </si>
  <si>
    <t>As of Oct. 10, 2005</t>
  </si>
  <si>
    <t>Boats participating in the Shields Nationals received 1 start credit</t>
  </si>
  <si>
    <t>As of Oct 10, 2005</t>
  </si>
  <si>
    <t>2005/2004</t>
  </si>
  <si>
    <t>Shields Fleet 1 2004 L.I.S. YRA Race Results</t>
  </si>
  <si>
    <t>As of October 10, 2004</t>
  </si>
  <si>
    <t>Huguenot</t>
  </si>
  <si>
    <t>AYC Mid Summer</t>
  </si>
  <si>
    <t>Labor Day</t>
  </si>
  <si>
    <t>Columbus Regatta</t>
  </si>
  <si>
    <t>15-25</t>
  </si>
  <si>
    <t>10-18</t>
  </si>
  <si>
    <t>8-12</t>
  </si>
  <si>
    <t>6-10</t>
  </si>
  <si>
    <t>12-18</t>
  </si>
  <si>
    <t>3-12</t>
  </si>
  <si>
    <t>8-15</t>
  </si>
  <si>
    <t>0-5</t>
  </si>
  <si>
    <t>0-2</t>
  </si>
  <si>
    <t>2-5</t>
  </si>
  <si>
    <t>6-8</t>
  </si>
  <si>
    <t>6-12</t>
  </si>
  <si>
    <t>231     HL DeVore</t>
  </si>
  <si>
    <t>182     Skip  McGuire</t>
  </si>
  <si>
    <t>197     Thomas O'Brien</t>
  </si>
  <si>
    <t>54      Neil Meyer</t>
  </si>
  <si>
    <t>183     Ed Yocum/Paul Massey</t>
  </si>
  <si>
    <t>5        Pierre Albouy</t>
  </si>
  <si>
    <t>22      Peter Hancock</t>
  </si>
  <si>
    <t>** Aug 22: Races Abandoned due to lack of wind</t>
  </si>
  <si>
    <t xml:space="preserve">    Sep 18 races abandoned due too much wind</t>
  </si>
  <si>
    <t>&lt;40%</t>
  </si>
  <si>
    <t>new 2005</t>
  </si>
  <si>
    <t>The Cox-Sprague scoring system as shown in the One Design Championship Rules section of the YRA Year Book is recommended; however,</t>
  </si>
  <si>
    <t>each fleet may choose any scoring system. A TLE is scored by adding 50% of the difference between the number of finishers and starters</t>
  </si>
  <si>
    <t>(truncated if a fraction) to the number of finishers</t>
  </si>
  <si>
    <t>Prizes will be awarded as above for a series comprising the Memorial Day, Independence Day, YRA One-Design Championship and Columbus</t>
  </si>
  <si>
    <t>Day Regattas. This series will be scored according to the Cox-Sprague Scoring System. To qualify, an owner must start at least 50% of</t>
  </si>
  <si>
    <t>the races.</t>
  </si>
  <si>
    <t>PRIZES - YRA of LIS prizes will be awarded to each owner qualifying and placing first (1 or more qualifiers), second (5 or more), third</t>
  </si>
  <si>
    <t>Schedule. This series qualifies a boat to compete for the Cow Bay Perpetual Trophy provided that the boat is in</t>
  </si>
  <si>
    <t>an ISAF-recognized class. This series qualifies a boat to compete for the Russell J. Nall Memorial Trophy provided that the boat is scored</t>
  </si>
  <si>
    <t>according to the Cox-Sprague Scoring System as adopted by the YRA of LIS.</t>
  </si>
  <si>
    <t>*Results for the Etchells races on Oct 1 are incomplete</t>
  </si>
  <si>
    <t>Etchells</t>
  </si>
  <si>
    <r>
      <t xml:space="preserve">(8 or more), fourth (15 or more) and fifth (20 or more) in season scores. In order to rank as qualifying, </t>
    </r>
    <r>
      <rPr>
        <b/>
        <sz val="8"/>
        <rFont val="Arial"/>
        <family val="2"/>
      </rPr>
      <t>the owner must start at least 50% of</t>
    </r>
  </si>
  <si>
    <r>
      <t>the races</t>
    </r>
    <r>
      <rPr>
        <sz val="8"/>
        <rFont val="Arial"/>
        <family val="0"/>
      </rPr>
      <t>, but not less than 10, designated by each fleet from the</t>
    </r>
  </si>
  <si>
    <t>RC Credits</t>
  </si>
  <si>
    <t>Nationals</t>
  </si>
  <si>
    <t>Nood</t>
  </si>
  <si>
    <t>Crew Race</t>
  </si>
  <si>
    <t>Participation Credits:</t>
  </si>
  <si>
    <t>Credits</t>
  </si>
  <si>
    <t>Number of Starts includes participation credits added for Nationals, NOOD and for running or participating in the Crew race</t>
  </si>
  <si>
    <t>50% of the number of races (8 starts) needed to qualify.</t>
  </si>
  <si>
    <t>40% of the number of races (16 starts) needed to qualify.</t>
  </si>
  <si>
    <t>As of Oct. 11, 2005</t>
  </si>
  <si>
    <t>50% of the number of races (9 starts) needed to qualify.</t>
  </si>
  <si>
    <t>Most Improved Trophy Standings</t>
  </si>
  <si>
    <t>IOD 2005 L.I.S. YRA Race Results</t>
  </si>
  <si>
    <t>Jim Bishop, Jr.</t>
  </si>
  <si>
    <t>Chris Casiraghi</t>
  </si>
  <si>
    <t>Jennifer Miller</t>
  </si>
  <si>
    <t>Jeffrey Feehan</t>
  </si>
  <si>
    <t>Tony Huston</t>
  </si>
  <si>
    <t>Jim Bishop</t>
  </si>
  <si>
    <t>Marion Maneker</t>
  </si>
  <si>
    <t>S-Boat 2005 L.I.S. YRA Race Results</t>
  </si>
  <si>
    <t>Bill Simmons</t>
  </si>
  <si>
    <t>Alex vonBidder</t>
  </si>
  <si>
    <t>George Hanson</t>
  </si>
  <si>
    <t>Robert Mehlich</t>
  </si>
  <si>
    <t>Richard Beck</t>
  </si>
  <si>
    <t>Bill Riley</t>
  </si>
  <si>
    <t>Etchells 2005 L.I.S. YRA Race Results</t>
  </si>
  <si>
    <t>Jim Callahan</t>
  </si>
  <si>
    <t>Drew Shea</t>
  </si>
  <si>
    <t>Chris Marx</t>
  </si>
  <si>
    <t>Jeremy Wurmfeld</t>
  </si>
  <si>
    <t>Smalley / Corwin</t>
  </si>
  <si>
    <t>Skip Gailard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</si>
</sst>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
    <numFmt numFmtId="169" formatCode="_(* #,##0.0_);_(* \(#,##0.0\);_(* &quot;-&quot;??_);_(@_)"/>
    <numFmt numFmtId="170" formatCode="_(* #,##0_);_(* \(#,##0\);_(* &quot;-&quot;??_);_(@_)"/>
    <numFmt numFmtId="171" formatCode="_(* #,##0.000_);_(* \(#,##0.00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m/d"/>
    <numFmt numFmtId="179" formatCode="000"/>
    <numFmt numFmtId="180" formatCode="_(* #,##0.0_);_(* \(#,##0.0\);_(* &quot;-&quot;?_);_(@_)"/>
    <numFmt numFmtId="181" formatCode="0_);\(0\)"/>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2]\ #,##0.00_);[Red]\([$€-2]\ #,##0.00\)"/>
    <numFmt numFmtId="190" formatCode="_(* #,##0.0000_);_(* \(#,##0.0000\);_(* &quot;-&quot;????_);_(@_)"/>
  </numFmts>
  <fonts count="50">
    <font>
      <sz val="10"/>
      <name val="Arial"/>
      <family val="0"/>
    </font>
    <font>
      <b/>
      <sz val="10"/>
      <name val="Arial"/>
      <family val="2"/>
    </font>
    <font>
      <b/>
      <sz val="12"/>
      <name val="Arial"/>
      <family val="2"/>
    </font>
    <font>
      <sz val="10"/>
      <color indexed="12"/>
      <name val="Arial"/>
      <family val="2"/>
    </font>
    <font>
      <u val="single"/>
      <sz val="10"/>
      <color indexed="12"/>
      <name val="Arial"/>
      <family val="0"/>
    </font>
    <font>
      <u val="single"/>
      <sz val="10"/>
      <color indexed="36"/>
      <name val="Arial"/>
      <family val="0"/>
    </font>
    <font>
      <sz val="8"/>
      <name val="Arial"/>
      <family val="0"/>
    </font>
    <font>
      <b/>
      <sz val="8"/>
      <name val="Arial"/>
      <family val="0"/>
    </font>
    <font>
      <sz val="8"/>
      <color indexed="12"/>
      <name val="Arial"/>
      <family val="0"/>
    </font>
    <font>
      <u val="single"/>
      <sz val="8"/>
      <color indexed="12"/>
      <name val="Arial"/>
      <family val="0"/>
    </font>
    <font>
      <sz val="12"/>
      <name val="Arial"/>
      <family val="2"/>
    </font>
    <font>
      <b/>
      <sz val="8"/>
      <color indexed="63"/>
      <name val="Verdana"/>
      <family val="2"/>
    </font>
    <font>
      <b/>
      <sz val="14"/>
      <name val="Arial"/>
      <family val="2"/>
    </font>
    <font>
      <sz val="8"/>
      <color indexed="9"/>
      <name val="Arial"/>
      <family val="0"/>
    </font>
    <font>
      <b/>
      <u val="single"/>
      <sz val="10"/>
      <color indexed="18"/>
      <name val="Arial"/>
      <family val="0"/>
    </font>
    <font>
      <b/>
      <u val="single"/>
      <sz val="10"/>
      <name val="Arial"/>
      <family val="0"/>
    </font>
    <font>
      <sz val="10"/>
      <color indexed="9"/>
      <name val="Arial"/>
      <family val="0"/>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style="medium"/>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thick"/>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9">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0" fillId="33" borderId="0" xfId="0" applyFill="1" applyAlignment="1">
      <alignment/>
    </xf>
    <xf numFmtId="0" fontId="2" fillId="33" borderId="0" xfId="0" applyFont="1" applyFill="1" applyAlignment="1">
      <alignment/>
    </xf>
    <xf numFmtId="16" fontId="0" fillId="34" borderId="12" xfId="0" applyNumberFormat="1" applyFont="1" applyFill="1" applyBorder="1" applyAlignment="1">
      <alignment textRotation="90"/>
    </xf>
    <xf numFmtId="16" fontId="0" fillId="34" borderId="13" xfId="0" applyNumberFormat="1" applyFont="1" applyFill="1" applyBorder="1" applyAlignment="1">
      <alignment textRotation="90"/>
    </xf>
    <xf numFmtId="0" fontId="1" fillId="33" borderId="0" xfId="0" applyFont="1" applyFill="1" applyAlignment="1">
      <alignment/>
    </xf>
    <xf numFmtId="16" fontId="0" fillId="34" borderId="14" xfId="0" applyNumberFormat="1" applyFont="1" applyFill="1" applyBorder="1" applyAlignment="1">
      <alignment textRotation="90"/>
    </xf>
    <xf numFmtId="0" fontId="0" fillId="0" borderId="12" xfId="0" applyFont="1" applyBorder="1" applyAlignment="1">
      <alignment horizontal="center"/>
    </xf>
    <xf numFmtId="0" fontId="0" fillId="0" borderId="15" xfId="0" applyFont="1" applyBorder="1" applyAlignment="1">
      <alignment horizontal="center"/>
    </xf>
    <xf numFmtId="0" fontId="0" fillId="33" borderId="0" xfId="0" applyFill="1" applyAlignment="1">
      <alignment horizontal="center"/>
    </xf>
    <xf numFmtId="0" fontId="3" fillId="0" borderId="16"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0" fillId="33" borderId="0" xfId="0" applyFill="1" applyAlignment="1">
      <alignment horizontal="right"/>
    </xf>
    <xf numFmtId="0" fontId="2" fillId="33" borderId="0" xfId="0" applyFont="1" applyFill="1" applyBorder="1" applyAlignment="1">
      <alignment horizontal="left"/>
    </xf>
    <xf numFmtId="0" fontId="0" fillId="33" borderId="0" xfId="0" applyFill="1" applyAlignment="1">
      <alignment horizontal="left"/>
    </xf>
    <xf numFmtId="0" fontId="7" fillId="33" borderId="0" xfId="0" applyFont="1" applyFill="1" applyBorder="1" applyAlignment="1">
      <alignment/>
    </xf>
    <xf numFmtId="0" fontId="6" fillId="33" borderId="0" xfId="0" applyFont="1" applyFill="1" applyAlignment="1">
      <alignment horizontal="center"/>
    </xf>
    <xf numFmtId="170" fontId="6" fillId="33" borderId="0" xfId="42" applyNumberFormat="1" applyFont="1" applyFill="1" applyAlignment="1">
      <alignment horizontal="center"/>
    </xf>
    <xf numFmtId="170" fontId="6" fillId="33" borderId="0" xfId="42" applyNumberFormat="1" applyFont="1" applyFill="1" applyAlignment="1">
      <alignment/>
    </xf>
    <xf numFmtId="0" fontId="6" fillId="33" borderId="0" xfId="0" applyFont="1" applyFill="1" applyAlignment="1">
      <alignment/>
    </xf>
    <xf numFmtId="0" fontId="6" fillId="33" borderId="25" xfId="0" applyFont="1" applyFill="1" applyBorder="1" applyAlignment="1">
      <alignment/>
    </xf>
    <xf numFmtId="0" fontId="6" fillId="33" borderId="26" xfId="0" applyFont="1" applyFill="1" applyBorder="1" applyAlignment="1">
      <alignment/>
    </xf>
    <xf numFmtId="0" fontId="6" fillId="33" borderId="27" xfId="0" applyFont="1" applyFill="1" applyBorder="1" applyAlignment="1">
      <alignment/>
    </xf>
    <xf numFmtId="0" fontId="6" fillId="0" borderId="28" xfId="0" applyFont="1" applyBorder="1" applyAlignment="1">
      <alignment/>
    </xf>
    <xf numFmtId="0" fontId="8" fillId="33" borderId="28" xfId="0" applyFont="1" applyFill="1" applyBorder="1" applyAlignment="1" applyProtection="1">
      <alignment horizontal="center"/>
      <protection locked="0"/>
    </xf>
    <xf numFmtId="173" fontId="6" fillId="33" borderId="28" xfId="42" applyNumberFormat="1" applyFont="1" applyFill="1" applyBorder="1" applyAlignment="1" quotePrefix="1">
      <alignment/>
    </xf>
    <xf numFmtId="0" fontId="8" fillId="33" borderId="29" xfId="0" applyFont="1" applyFill="1" applyBorder="1" applyAlignment="1" applyProtection="1">
      <alignment horizontal="center"/>
      <protection locked="0"/>
    </xf>
    <xf numFmtId="173" fontId="6" fillId="33" borderId="29" xfId="42" applyNumberFormat="1" applyFont="1" applyFill="1" applyBorder="1" applyAlignment="1" quotePrefix="1">
      <alignment/>
    </xf>
    <xf numFmtId="16" fontId="6" fillId="33" borderId="30" xfId="0" applyNumberFormat="1" applyFont="1" applyFill="1" applyBorder="1" applyAlignment="1">
      <alignment textRotation="90"/>
    </xf>
    <xf numFmtId="0" fontId="6" fillId="33" borderId="31" xfId="0" applyFont="1" applyFill="1" applyBorder="1" applyAlignment="1">
      <alignment/>
    </xf>
    <xf numFmtId="0" fontId="6" fillId="33" borderId="31" xfId="0" applyFont="1" applyFill="1" applyBorder="1" applyAlignment="1">
      <alignment horizontal="center"/>
    </xf>
    <xf numFmtId="0" fontId="6" fillId="33" borderId="28" xfId="0" applyFont="1" applyFill="1" applyBorder="1" applyAlignment="1">
      <alignment/>
    </xf>
    <xf numFmtId="0" fontId="6" fillId="33" borderId="28" xfId="0" applyFont="1" applyFill="1" applyBorder="1" applyAlignment="1">
      <alignment horizontal="center"/>
    </xf>
    <xf numFmtId="0" fontId="6" fillId="33" borderId="30" xfId="0" applyFont="1" applyFill="1" applyBorder="1" applyAlignment="1">
      <alignment horizontal="center"/>
    </xf>
    <xf numFmtId="179" fontId="6" fillId="33" borderId="30" xfId="0" applyNumberFormat="1" applyFont="1" applyFill="1" applyBorder="1" applyAlignment="1">
      <alignment horizontal="center"/>
    </xf>
    <xf numFmtId="0" fontId="6" fillId="33" borderId="30" xfId="0" applyFont="1" applyFill="1" applyBorder="1" applyAlignment="1" quotePrefix="1">
      <alignment horizontal="center"/>
    </xf>
    <xf numFmtId="16" fontId="6" fillId="33" borderId="30" xfId="0" applyNumberFormat="1" applyFont="1" applyFill="1" applyBorder="1" applyAlignment="1" quotePrefix="1">
      <alignment horizontal="center"/>
    </xf>
    <xf numFmtId="0" fontId="4" fillId="33" borderId="0" xfId="53" applyFill="1" applyAlignment="1" applyProtection="1">
      <alignment horizontal="left"/>
      <protection/>
    </xf>
    <xf numFmtId="0" fontId="0" fillId="33" borderId="0" xfId="0" applyFill="1" applyAlignment="1">
      <alignment horizontal="left" wrapText="1"/>
    </xf>
    <xf numFmtId="0" fontId="7" fillId="33" borderId="0" xfId="0" applyFont="1" applyFill="1" applyBorder="1" applyAlignment="1">
      <alignment horizontal="center"/>
    </xf>
    <xf numFmtId="0" fontId="8" fillId="33" borderId="31" xfId="0" applyFont="1" applyFill="1" applyBorder="1" applyAlignment="1" applyProtection="1">
      <alignment horizontal="center"/>
      <protection locked="0"/>
    </xf>
    <xf numFmtId="0" fontId="6" fillId="33" borderId="32" xfId="0" applyFont="1" applyFill="1" applyBorder="1" applyAlignment="1">
      <alignment/>
    </xf>
    <xf numFmtId="0" fontId="6" fillId="33" borderId="29" xfId="0" applyFont="1" applyFill="1" applyBorder="1" applyAlignment="1">
      <alignment horizontal="center"/>
    </xf>
    <xf numFmtId="0" fontId="6" fillId="33" borderId="26" xfId="0" applyFont="1" applyFill="1" applyBorder="1" applyAlignment="1">
      <alignment/>
    </xf>
    <xf numFmtId="0" fontId="6" fillId="33" borderId="25" xfId="0" applyFont="1" applyFill="1" applyBorder="1" applyAlignment="1">
      <alignment/>
    </xf>
    <xf numFmtId="0" fontId="6" fillId="33" borderId="25" xfId="0" applyFont="1" applyFill="1" applyBorder="1" applyAlignment="1">
      <alignment horizontal="center"/>
    </xf>
    <xf numFmtId="0" fontId="6" fillId="33" borderId="0" xfId="0" applyFont="1" applyFill="1" applyAlignment="1">
      <alignment horizontal="left"/>
    </xf>
    <xf numFmtId="0" fontId="9" fillId="33" borderId="0" xfId="53" applyFont="1" applyFill="1" applyAlignment="1" applyProtection="1">
      <alignment horizontal="left"/>
      <protection/>
    </xf>
    <xf numFmtId="0" fontId="6" fillId="33" borderId="33" xfId="0" applyFont="1" applyFill="1" applyBorder="1" applyAlignment="1">
      <alignment horizontal="center"/>
    </xf>
    <xf numFmtId="0" fontId="6" fillId="33" borderId="34" xfId="0" applyFont="1" applyFill="1" applyBorder="1" applyAlignment="1">
      <alignment horizontal="center"/>
    </xf>
    <xf numFmtId="0" fontId="6" fillId="33" borderId="35" xfId="0" applyFont="1" applyFill="1" applyBorder="1" applyAlignment="1">
      <alignment horizontal="center"/>
    </xf>
    <xf numFmtId="0" fontId="6" fillId="33" borderId="36" xfId="0" applyFont="1" applyFill="1" applyBorder="1" applyAlignment="1">
      <alignment horizontal="center"/>
    </xf>
    <xf numFmtId="0" fontId="6" fillId="33" borderId="29" xfId="0" applyFont="1" applyFill="1" applyBorder="1" applyAlignment="1">
      <alignment/>
    </xf>
    <xf numFmtId="173" fontId="6" fillId="33" borderId="31" xfId="42" applyNumberFormat="1" applyFont="1" applyFill="1" applyBorder="1" applyAlignment="1" quotePrefix="1">
      <alignment/>
    </xf>
    <xf numFmtId="0" fontId="6" fillId="33" borderId="27" xfId="0" applyFont="1" applyFill="1" applyBorder="1" applyAlignment="1">
      <alignment horizontal="center"/>
    </xf>
    <xf numFmtId="0" fontId="6" fillId="33" borderId="35" xfId="0" applyFont="1" applyFill="1" applyBorder="1" applyAlignment="1">
      <alignment/>
    </xf>
    <xf numFmtId="0" fontId="6" fillId="33" borderId="36" xfId="0" applyFont="1" applyFill="1" applyBorder="1" applyAlignment="1">
      <alignment/>
    </xf>
    <xf numFmtId="16" fontId="6" fillId="33" borderId="25" xfId="0" applyNumberFormat="1" applyFont="1" applyFill="1" applyBorder="1" applyAlignment="1">
      <alignment horizontal="center"/>
    </xf>
    <xf numFmtId="0" fontId="6" fillId="33" borderId="0" xfId="0" applyFont="1" applyFill="1" applyBorder="1" applyAlignment="1">
      <alignment horizontal="center"/>
    </xf>
    <xf numFmtId="16" fontId="6" fillId="33" borderId="26" xfId="0" applyNumberFormat="1" applyFont="1" applyFill="1" applyBorder="1" applyAlignment="1">
      <alignment horizontal="center"/>
    </xf>
    <xf numFmtId="165" fontId="6" fillId="33" borderId="0" xfId="42" applyNumberFormat="1" applyFont="1" applyFill="1" applyBorder="1" applyAlignment="1" quotePrefix="1">
      <alignment horizontal="center"/>
    </xf>
    <xf numFmtId="0" fontId="8" fillId="33" borderId="0" xfId="0" applyFont="1" applyFill="1" applyBorder="1" applyAlignment="1" applyProtection="1">
      <alignment horizontal="center"/>
      <protection locked="0"/>
    </xf>
    <xf numFmtId="0" fontId="1" fillId="33" borderId="0" xfId="0" applyFont="1" applyFill="1" applyAlignment="1">
      <alignment horizontal="left"/>
    </xf>
    <xf numFmtId="0" fontId="2" fillId="33" borderId="0" xfId="0" applyFont="1" applyFill="1" applyBorder="1" applyAlignment="1">
      <alignment/>
    </xf>
    <xf numFmtId="0" fontId="7" fillId="33" borderId="0" xfId="0" applyFont="1" applyFill="1" applyAlignment="1">
      <alignment/>
    </xf>
    <xf numFmtId="0" fontId="6" fillId="33" borderId="28" xfId="0" applyFont="1" applyFill="1" applyBorder="1" applyAlignment="1">
      <alignment horizontal="left"/>
    </xf>
    <xf numFmtId="0" fontId="6" fillId="33" borderId="29" xfId="0" applyFont="1" applyFill="1" applyBorder="1" applyAlignment="1">
      <alignment horizontal="left"/>
    </xf>
    <xf numFmtId="0" fontId="4" fillId="33" borderId="0" xfId="53" applyFill="1" applyAlignment="1" applyProtection="1">
      <alignment/>
      <protection/>
    </xf>
    <xf numFmtId="0" fontId="6" fillId="33" borderId="0" xfId="0" applyFont="1" applyFill="1" applyAlignment="1">
      <alignment/>
    </xf>
    <xf numFmtId="0" fontId="6" fillId="33" borderId="0" xfId="0" applyNumberFormat="1" applyFont="1" applyFill="1" applyAlignment="1">
      <alignment horizontal="center"/>
    </xf>
    <xf numFmtId="0" fontId="6" fillId="33" borderId="0" xfId="0" applyNumberFormat="1" applyFont="1" applyFill="1" applyAlignment="1">
      <alignment/>
    </xf>
    <xf numFmtId="0" fontId="6" fillId="33" borderId="0" xfId="0" applyFont="1" applyFill="1" applyAlignment="1">
      <alignment horizontal="left"/>
    </xf>
    <xf numFmtId="0" fontId="6" fillId="33" borderId="33" xfId="0" applyFont="1" applyFill="1" applyBorder="1" applyAlignment="1">
      <alignment horizontal="center"/>
    </xf>
    <xf numFmtId="0" fontId="6" fillId="33" borderId="28" xfId="0" applyFont="1" applyFill="1" applyBorder="1" applyAlignment="1">
      <alignment horizontal="center"/>
    </xf>
    <xf numFmtId="0" fontId="6" fillId="33" borderId="34" xfId="0" applyFont="1" applyFill="1" applyBorder="1" applyAlignment="1">
      <alignment horizontal="center"/>
    </xf>
    <xf numFmtId="0" fontId="6" fillId="33" borderId="29" xfId="0" applyFont="1" applyFill="1" applyBorder="1" applyAlignment="1">
      <alignment horizontal="center"/>
    </xf>
    <xf numFmtId="0" fontId="6" fillId="33" borderId="30" xfId="0" applyFont="1" applyFill="1" applyBorder="1" applyAlignment="1">
      <alignment horizontal="center"/>
    </xf>
    <xf numFmtId="0" fontId="6" fillId="33" borderId="30" xfId="0" applyFont="1" applyFill="1" applyBorder="1" applyAlignment="1">
      <alignment horizontal="center" wrapText="1"/>
    </xf>
    <xf numFmtId="170" fontId="6" fillId="33" borderId="30" xfId="42" applyNumberFormat="1" applyFont="1" applyFill="1" applyBorder="1" applyAlignment="1">
      <alignment horizontal="center" wrapText="1"/>
    </xf>
    <xf numFmtId="16" fontId="6" fillId="33" borderId="30" xfId="0" applyNumberFormat="1" applyFont="1" applyFill="1" applyBorder="1" applyAlignment="1">
      <alignment horizontal="center"/>
    </xf>
    <xf numFmtId="166" fontId="6" fillId="33" borderId="28" xfId="42" applyNumberFormat="1" applyFont="1" applyFill="1" applyBorder="1" applyAlignment="1" quotePrefix="1">
      <alignment horizontal="center"/>
    </xf>
    <xf numFmtId="0" fontId="8" fillId="33" borderId="28" xfId="0" applyFont="1" applyFill="1" applyBorder="1" applyAlignment="1" applyProtection="1">
      <alignment horizontal="center"/>
      <protection locked="0"/>
    </xf>
    <xf numFmtId="0" fontId="6" fillId="33" borderId="31" xfId="0" applyFont="1" applyFill="1" applyBorder="1" applyAlignment="1">
      <alignment horizontal="right"/>
    </xf>
    <xf numFmtId="0" fontId="6" fillId="33" borderId="31" xfId="0" applyFont="1" applyFill="1" applyBorder="1" applyAlignment="1">
      <alignment horizontal="center"/>
    </xf>
    <xf numFmtId="170" fontId="6" fillId="33" borderId="31" xfId="42" applyNumberFormat="1" applyFont="1" applyFill="1" applyBorder="1" applyAlignment="1">
      <alignment horizontal="right"/>
    </xf>
    <xf numFmtId="0" fontId="6" fillId="33" borderId="28" xfId="0" applyFont="1" applyFill="1" applyBorder="1" applyAlignment="1">
      <alignment/>
    </xf>
    <xf numFmtId="0" fontId="6" fillId="33" borderId="29" xfId="0" applyFont="1" applyFill="1" applyBorder="1" applyAlignment="1">
      <alignment/>
    </xf>
    <xf numFmtId="166" fontId="6" fillId="33" borderId="29" xfId="42" applyNumberFormat="1" applyFont="1" applyFill="1" applyBorder="1" applyAlignment="1" quotePrefix="1">
      <alignment horizontal="center"/>
    </xf>
    <xf numFmtId="0" fontId="8" fillId="33" borderId="29" xfId="0" applyFont="1" applyFill="1" applyBorder="1" applyAlignment="1" applyProtection="1">
      <alignment horizontal="center"/>
      <protection locked="0"/>
    </xf>
    <xf numFmtId="15" fontId="6" fillId="33" borderId="0" xfId="0" applyNumberFormat="1" applyFont="1" applyFill="1" applyAlignment="1">
      <alignment horizontal="left"/>
    </xf>
    <xf numFmtId="0" fontId="6" fillId="33" borderId="31" xfId="0" applyFont="1" applyFill="1" applyBorder="1" applyAlignment="1">
      <alignment horizontal="left"/>
    </xf>
    <xf numFmtId="0" fontId="7" fillId="33" borderId="0" xfId="0" applyFont="1" applyFill="1" applyAlignment="1">
      <alignment horizontal="center"/>
    </xf>
    <xf numFmtId="0" fontId="6" fillId="33" borderId="37" xfId="0" applyFont="1" applyFill="1" applyBorder="1" applyAlignment="1">
      <alignment horizontal="center"/>
    </xf>
    <xf numFmtId="0" fontId="6" fillId="33" borderId="0" xfId="0" applyFont="1" applyFill="1" applyBorder="1" applyAlignment="1">
      <alignment horizontal="left"/>
    </xf>
    <xf numFmtId="0" fontId="7" fillId="33" borderId="28" xfId="0" applyFont="1" applyFill="1" applyBorder="1" applyAlignment="1">
      <alignment horizontal="left"/>
    </xf>
    <xf numFmtId="0" fontId="7" fillId="33" borderId="29" xfId="0" applyFont="1" applyFill="1" applyBorder="1" applyAlignment="1">
      <alignment horizontal="left"/>
    </xf>
    <xf numFmtId="0" fontId="6" fillId="33" borderId="30" xfId="0" applyFont="1" applyFill="1" applyBorder="1" applyAlignment="1">
      <alignment/>
    </xf>
    <xf numFmtId="0" fontId="6" fillId="33" borderId="37" xfId="0" applyFont="1" applyFill="1" applyBorder="1" applyAlignment="1">
      <alignment horizontal="center"/>
    </xf>
    <xf numFmtId="0" fontId="6" fillId="33" borderId="38" xfId="0" applyFont="1" applyFill="1" applyBorder="1" applyAlignment="1">
      <alignment horizontal="center"/>
    </xf>
    <xf numFmtId="173" fontId="6" fillId="33" borderId="28" xfId="42" applyNumberFormat="1" applyFont="1" applyFill="1" applyBorder="1" applyAlignment="1" quotePrefix="1">
      <alignment horizontal="center"/>
    </xf>
    <xf numFmtId="173" fontId="6" fillId="33" borderId="29" xfId="42" applyNumberFormat="1" applyFont="1" applyFill="1" applyBorder="1" applyAlignment="1" quotePrefix="1">
      <alignment horizontal="center"/>
    </xf>
    <xf numFmtId="168" fontId="6" fillId="33" borderId="28" xfId="59" applyNumberFormat="1" applyFont="1" applyFill="1" applyBorder="1" applyAlignment="1" quotePrefix="1">
      <alignment horizontal="center"/>
    </xf>
    <xf numFmtId="168" fontId="6" fillId="33" borderId="29" xfId="59" applyNumberFormat="1" applyFont="1" applyFill="1" applyBorder="1" applyAlignment="1" quotePrefix="1">
      <alignment horizontal="center"/>
    </xf>
    <xf numFmtId="1" fontId="6" fillId="33" borderId="30" xfId="0" applyNumberFormat="1" applyFont="1" applyFill="1" applyBorder="1" applyAlignment="1" quotePrefix="1">
      <alignment horizontal="center"/>
    </xf>
    <xf numFmtId="179" fontId="6" fillId="33" borderId="27" xfId="0" applyNumberFormat="1" applyFont="1" applyFill="1" applyBorder="1" applyAlignment="1">
      <alignment horizontal="center"/>
    </xf>
    <xf numFmtId="16" fontId="6" fillId="33" borderId="29" xfId="0" applyNumberFormat="1" applyFont="1" applyFill="1" applyBorder="1" applyAlignment="1">
      <alignment textRotation="90"/>
    </xf>
    <xf numFmtId="170" fontId="6" fillId="33" borderId="29" xfId="42" applyNumberFormat="1" applyFont="1" applyFill="1" applyBorder="1" applyAlignment="1">
      <alignment horizontal="center" wrapText="1"/>
    </xf>
    <xf numFmtId="170" fontId="6" fillId="33" borderId="37" xfId="42" applyNumberFormat="1" applyFont="1" applyFill="1" applyBorder="1" applyAlignment="1">
      <alignment horizontal="center"/>
    </xf>
    <xf numFmtId="170" fontId="6" fillId="33" borderId="38" xfId="42" applyNumberFormat="1" applyFont="1" applyFill="1" applyBorder="1" applyAlignment="1">
      <alignment horizontal="right"/>
    </xf>
    <xf numFmtId="170" fontId="6" fillId="33" borderId="33" xfId="42" applyNumberFormat="1" applyFont="1" applyFill="1" applyBorder="1" applyAlignment="1">
      <alignment horizontal="center"/>
    </xf>
    <xf numFmtId="170" fontId="6" fillId="33" borderId="35" xfId="42" applyNumberFormat="1" applyFont="1" applyFill="1" applyBorder="1" applyAlignment="1">
      <alignment horizontal="right"/>
    </xf>
    <xf numFmtId="170" fontId="6" fillId="33" borderId="34" xfId="42" applyNumberFormat="1" applyFont="1" applyFill="1" applyBorder="1" applyAlignment="1">
      <alignment horizontal="center"/>
    </xf>
    <xf numFmtId="170" fontId="6" fillId="33" borderId="36" xfId="42" applyNumberFormat="1" applyFont="1" applyFill="1" applyBorder="1" applyAlignment="1">
      <alignment horizontal="right"/>
    </xf>
    <xf numFmtId="0" fontId="8" fillId="33" borderId="38"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36" xfId="0" applyFont="1" applyFill="1" applyBorder="1" applyAlignment="1" applyProtection="1">
      <alignment horizontal="center"/>
      <protection locked="0"/>
    </xf>
    <xf numFmtId="0" fontId="6" fillId="33" borderId="31" xfId="0" applyFont="1" applyFill="1" applyBorder="1" applyAlignment="1">
      <alignment horizontal="center" wrapText="1"/>
    </xf>
    <xf numFmtId="0" fontId="6" fillId="33" borderId="27" xfId="0" applyFont="1" applyFill="1" applyBorder="1" applyAlignment="1">
      <alignment/>
    </xf>
    <xf numFmtId="0" fontId="6" fillId="33" borderId="38" xfId="0" applyFont="1" applyFill="1" applyBorder="1" applyAlignment="1">
      <alignment/>
    </xf>
    <xf numFmtId="0" fontId="6" fillId="33" borderId="35" xfId="0" applyFont="1" applyFill="1" applyBorder="1" applyAlignment="1">
      <alignment horizontal="right"/>
    </xf>
    <xf numFmtId="0" fontId="6" fillId="33" borderId="0" xfId="0" applyFont="1" applyFill="1" applyAlignment="1">
      <alignment horizontal="center"/>
    </xf>
    <xf numFmtId="0" fontId="6" fillId="33" borderId="30"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31" xfId="0" applyFont="1" applyFill="1" applyBorder="1" applyAlignment="1">
      <alignment/>
    </xf>
    <xf numFmtId="0" fontId="6" fillId="33" borderId="35" xfId="0" applyNumberFormat="1" applyFont="1" applyFill="1" applyBorder="1" applyAlignment="1">
      <alignment horizontal="center"/>
    </xf>
    <xf numFmtId="0" fontId="6" fillId="33" borderId="28" xfId="0" applyNumberFormat="1" applyFont="1" applyFill="1" applyBorder="1" applyAlignment="1">
      <alignment horizontal="center"/>
    </xf>
    <xf numFmtId="0" fontId="6" fillId="33" borderId="36" xfId="0" applyNumberFormat="1" applyFont="1" applyFill="1" applyBorder="1" applyAlignment="1">
      <alignment horizontal="center"/>
    </xf>
    <xf numFmtId="0" fontId="6" fillId="33" borderId="29" xfId="0" applyNumberFormat="1" applyFont="1" applyFill="1" applyBorder="1" applyAlignment="1">
      <alignment horizontal="center"/>
    </xf>
    <xf numFmtId="0" fontId="7" fillId="33" borderId="0" xfId="0" applyFont="1" applyFill="1" applyAlignment="1">
      <alignment/>
    </xf>
    <xf numFmtId="0" fontId="6" fillId="33" borderId="0" xfId="0" applyFont="1" applyFill="1" applyAlignment="1">
      <alignment horizontal="left" wrapText="1"/>
    </xf>
    <xf numFmtId="0" fontId="6" fillId="33" borderId="0" xfId="0" applyFont="1" applyFill="1" applyAlignment="1">
      <alignment vertical="top"/>
    </xf>
    <xf numFmtId="0" fontId="7" fillId="33" borderId="25" xfId="0" applyFont="1" applyFill="1" applyBorder="1" applyAlignment="1">
      <alignment/>
    </xf>
    <xf numFmtId="0" fontId="10" fillId="33" borderId="0" xfId="0" applyFont="1" applyFill="1" applyAlignment="1">
      <alignment horizontal="center"/>
    </xf>
    <xf numFmtId="0" fontId="10" fillId="33" borderId="0" xfId="0" applyFont="1" applyFill="1" applyAlignment="1">
      <alignment/>
    </xf>
    <xf numFmtId="0" fontId="2" fillId="33" borderId="0" xfId="0" applyFont="1" applyFill="1" applyAlignment="1">
      <alignment horizontal="left"/>
    </xf>
    <xf numFmtId="0" fontId="0" fillId="33" borderId="0" xfId="0" applyFont="1" applyFill="1" applyAlignment="1">
      <alignment horizontal="center"/>
    </xf>
    <xf numFmtId="0" fontId="0" fillId="33" borderId="0" xfId="0" applyFont="1" applyFill="1" applyAlignment="1">
      <alignment/>
    </xf>
    <xf numFmtId="0" fontId="0" fillId="33" borderId="0" xfId="0" applyFont="1" applyFill="1" applyAlignment="1">
      <alignment horizontal="left"/>
    </xf>
    <xf numFmtId="173" fontId="6" fillId="33" borderId="37" xfId="42" applyNumberFormat="1" applyFont="1" applyFill="1" applyBorder="1" applyAlignment="1" quotePrefix="1">
      <alignment/>
    </xf>
    <xf numFmtId="173" fontId="6" fillId="33" borderId="33" xfId="42" applyNumberFormat="1" applyFont="1" applyFill="1" applyBorder="1" applyAlignment="1" quotePrefix="1">
      <alignment/>
    </xf>
    <xf numFmtId="173" fontId="6" fillId="33" borderId="34" xfId="42" applyNumberFormat="1" applyFont="1" applyFill="1" applyBorder="1" applyAlignment="1" quotePrefix="1">
      <alignment/>
    </xf>
    <xf numFmtId="16" fontId="6" fillId="33" borderId="31" xfId="0" applyNumberFormat="1" applyFont="1" applyFill="1" applyBorder="1" applyAlignment="1">
      <alignment textRotation="90"/>
    </xf>
    <xf numFmtId="0" fontId="6" fillId="33" borderId="0" xfId="0" applyFont="1" applyFill="1" applyBorder="1" applyAlignment="1">
      <alignment/>
    </xf>
    <xf numFmtId="170" fontId="6" fillId="33" borderId="30" xfId="42" applyNumberFormat="1" applyFont="1" applyFill="1" applyBorder="1" applyAlignment="1">
      <alignment horizontal="center" wrapText="1"/>
    </xf>
    <xf numFmtId="0" fontId="0" fillId="33" borderId="30" xfId="0" applyFill="1" applyBorder="1" applyAlignment="1">
      <alignment horizontal="center"/>
    </xf>
    <xf numFmtId="0" fontId="0" fillId="33" borderId="28" xfId="0" applyFill="1" applyBorder="1" applyAlignment="1">
      <alignment/>
    </xf>
    <xf numFmtId="0" fontId="0" fillId="33" borderId="28" xfId="0" applyFill="1" applyBorder="1" applyAlignment="1">
      <alignment horizontal="center"/>
    </xf>
    <xf numFmtId="0" fontId="0" fillId="33" borderId="29" xfId="0" applyFill="1" applyBorder="1" applyAlignment="1">
      <alignment/>
    </xf>
    <xf numFmtId="0" fontId="0" fillId="33" borderId="29" xfId="0" applyFill="1" applyBorder="1" applyAlignment="1">
      <alignment horizontal="center"/>
    </xf>
    <xf numFmtId="0" fontId="0" fillId="33" borderId="35" xfId="0" applyFill="1" applyBorder="1" applyAlignment="1">
      <alignment horizontal="center"/>
    </xf>
    <xf numFmtId="0" fontId="0" fillId="33" borderId="36" xfId="0" applyFill="1" applyBorder="1" applyAlignment="1">
      <alignment horizontal="center"/>
    </xf>
    <xf numFmtId="0" fontId="12" fillId="33" borderId="0" xfId="0" applyFont="1" applyFill="1" applyAlignment="1">
      <alignment/>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6" fillId="35" borderId="0" xfId="0" applyFont="1" applyFill="1" applyAlignment="1">
      <alignment/>
    </xf>
    <xf numFmtId="0" fontId="6" fillId="36" borderId="0" xfId="0" applyFont="1" applyFill="1" applyAlignment="1">
      <alignment/>
    </xf>
    <xf numFmtId="0" fontId="6" fillId="0" borderId="0" xfId="0" applyFont="1" applyAlignment="1">
      <alignment horizontal="right"/>
    </xf>
    <xf numFmtId="0" fontId="13" fillId="33" borderId="0" xfId="0" applyFont="1" applyFill="1" applyAlignment="1">
      <alignment/>
    </xf>
    <xf numFmtId="0" fontId="7" fillId="0" borderId="0" xfId="0" applyFont="1" applyAlignment="1">
      <alignment/>
    </xf>
    <xf numFmtId="0" fontId="13" fillId="33" borderId="0" xfId="0" applyFont="1" applyFill="1" applyAlignment="1">
      <alignment horizontal="right"/>
    </xf>
    <xf numFmtId="0" fontId="13" fillId="33" borderId="0" xfId="0" applyFont="1" applyFill="1" applyAlignment="1">
      <alignment horizontal="center"/>
    </xf>
    <xf numFmtId="0" fontId="14" fillId="0" borderId="0" xfId="0" applyFont="1" applyAlignment="1">
      <alignment horizontal="left"/>
    </xf>
    <xf numFmtId="0" fontId="14" fillId="0" borderId="0" xfId="0" applyFont="1" applyAlignment="1">
      <alignment/>
    </xf>
    <xf numFmtId="0" fontId="0" fillId="0" borderId="39" xfId="0" applyFont="1" applyBorder="1" applyAlignment="1">
      <alignment horizontal="right"/>
    </xf>
    <xf numFmtId="0" fontId="0" fillId="0" borderId="40" xfId="0" applyFont="1" applyBorder="1" applyAlignment="1">
      <alignment horizontal="center"/>
    </xf>
    <xf numFmtId="170" fontId="0" fillId="0" borderId="40" xfId="42" applyNumberFormat="1" applyFont="1" applyBorder="1" applyAlignment="1">
      <alignment horizontal="center"/>
    </xf>
    <xf numFmtId="170" fontId="0" fillId="0" borderId="15" xfId="42" applyNumberFormat="1" applyFont="1" applyBorder="1" applyAlignment="1">
      <alignment horizontal="right"/>
    </xf>
    <xf numFmtId="0" fontId="0" fillId="34" borderId="39" xfId="0" applyFont="1" applyFill="1" applyBorder="1" applyAlignment="1">
      <alignment horizontal="center" wrapText="1"/>
    </xf>
    <xf numFmtId="16" fontId="0" fillId="34" borderId="40" xfId="0" applyNumberFormat="1" applyFont="1" applyFill="1" applyBorder="1" applyAlignment="1">
      <alignment textRotation="90"/>
    </xf>
    <xf numFmtId="170" fontId="0" fillId="34" borderId="41" xfId="42" applyNumberFormat="1" applyFont="1" applyFill="1" applyBorder="1" applyAlignment="1">
      <alignment horizontal="center" wrapText="1"/>
    </xf>
    <xf numFmtId="1" fontId="0" fillId="0" borderId="42" xfId="42" applyNumberFormat="1" applyFont="1" applyBorder="1" applyAlignment="1">
      <alignment horizontal="center"/>
    </xf>
    <xf numFmtId="1" fontId="0" fillId="0" borderId="43" xfId="42" applyNumberFormat="1" applyFont="1" applyBorder="1" applyAlignment="1" quotePrefix="1">
      <alignment horizontal="center"/>
    </xf>
    <xf numFmtId="171" fontId="0" fillId="0" borderId="44" xfId="42" applyNumberFormat="1" applyFont="1" applyBorder="1" applyAlignment="1" quotePrefix="1">
      <alignment/>
    </xf>
    <xf numFmtId="1" fontId="0" fillId="0" borderId="45" xfId="42" applyNumberFormat="1" applyFont="1" applyBorder="1" applyAlignment="1">
      <alignment horizontal="center"/>
    </xf>
    <xf numFmtId="1" fontId="0" fillId="0" borderId="0" xfId="42" applyNumberFormat="1" applyFont="1" applyBorder="1" applyAlignment="1" quotePrefix="1">
      <alignment horizontal="center"/>
    </xf>
    <xf numFmtId="171" fontId="0" fillId="0" borderId="46" xfId="42" applyNumberFormat="1" applyFont="1" applyBorder="1" applyAlignment="1" quotePrefix="1">
      <alignment/>
    </xf>
    <xf numFmtId="1" fontId="0" fillId="0" borderId="47" xfId="42" applyNumberFormat="1" applyFont="1" applyBorder="1" applyAlignment="1">
      <alignment horizontal="center"/>
    </xf>
    <xf numFmtId="1" fontId="0" fillId="0" borderId="48" xfId="42" applyNumberFormat="1" applyFont="1" applyBorder="1" applyAlignment="1" quotePrefix="1">
      <alignment horizontal="center"/>
    </xf>
    <xf numFmtId="171" fontId="0" fillId="0" borderId="49" xfId="42" applyNumberFormat="1" applyFont="1" applyBorder="1" applyAlignment="1" quotePrefix="1">
      <alignment/>
    </xf>
    <xf numFmtId="0" fontId="0" fillId="0" borderId="50" xfId="0" applyFont="1" applyBorder="1" applyAlignment="1">
      <alignment horizontal="right"/>
    </xf>
    <xf numFmtId="169" fontId="0" fillId="33" borderId="0" xfId="42" applyNumberFormat="1" applyFont="1" applyFill="1" applyAlignment="1">
      <alignment/>
    </xf>
    <xf numFmtId="0" fontId="0" fillId="33" borderId="0" xfId="0" applyFont="1" applyFill="1" applyAlignment="1">
      <alignment horizontal="right"/>
    </xf>
    <xf numFmtId="0" fontId="6" fillId="33" borderId="0" xfId="0" applyFont="1" applyFill="1" applyAlignment="1" quotePrefix="1">
      <alignment/>
    </xf>
    <xf numFmtId="0" fontId="0" fillId="33" borderId="0" xfId="0" applyFont="1" applyFill="1" applyAlignment="1">
      <alignment/>
    </xf>
    <xf numFmtId="0" fontId="6" fillId="33" borderId="33" xfId="0" applyFont="1" applyFill="1" applyBorder="1" applyAlignment="1">
      <alignment horizontal="right"/>
    </xf>
    <xf numFmtId="0" fontId="7" fillId="33" borderId="30" xfId="0" applyFont="1" applyFill="1" applyBorder="1" applyAlignment="1" quotePrefix="1">
      <alignment horizontal="center"/>
    </xf>
    <xf numFmtId="0" fontId="7" fillId="33" borderId="37" xfId="0" applyFont="1" applyFill="1" applyBorder="1" applyAlignment="1">
      <alignment horizontal="center"/>
    </xf>
    <xf numFmtId="170" fontId="6" fillId="33" borderId="31" xfId="42" applyNumberFormat="1" applyFont="1" applyFill="1" applyBorder="1" applyAlignment="1">
      <alignment horizontal="center"/>
    </xf>
    <xf numFmtId="170" fontId="6" fillId="33" borderId="31" xfId="42" applyNumberFormat="1" applyFont="1" applyFill="1" applyBorder="1" applyAlignment="1">
      <alignment horizontal="right"/>
    </xf>
    <xf numFmtId="170" fontId="6" fillId="33" borderId="28" xfId="42" applyNumberFormat="1" applyFont="1" applyFill="1" applyBorder="1" applyAlignment="1">
      <alignment horizontal="center"/>
    </xf>
    <xf numFmtId="170" fontId="6" fillId="33" borderId="28" xfId="42" applyNumberFormat="1" applyFont="1" applyFill="1" applyBorder="1" applyAlignment="1">
      <alignment horizontal="right"/>
    </xf>
    <xf numFmtId="0" fontId="6" fillId="33" borderId="28" xfId="0" applyFont="1" applyFill="1" applyBorder="1" applyAlignment="1">
      <alignment horizontal="right"/>
    </xf>
    <xf numFmtId="0" fontId="6" fillId="33" borderId="30" xfId="0" applyFont="1" applyFill="1" applyBorder="1" applyAlignment="1">
      <alignment horizontal="center" wrapText="1"/>
    </xf>
    <xf numFmtId="0" fontId="6" fillId="0" borderId="31" xfId="0" applyFont="1" applyBorder="1" applyAlignment="1">
      <alignment/>
    </xf>
    <xf numFmtId="0" fontId="6" fillId="0" borderId="29" xfId="0" applyFont="1" applyBorder="1" applyAlignment="1">
      <alignment/>
    </xf>
    <xf numFmtId="0" fontId="6" fillId="0" borderId="31" xfId="0" applyFont="1" applyBorder="1" applyAlignment="1">
      <alignment horizontal="right"/>
    </xf>
    <xf numFmtId="0" fontId="6" fillId="0" borderId="28" xfId="0" applyFont="1" applyBorder="1" applyAlignment="1">
      <alignment horizontal="right"/>
    </xf>
    <xf numFmtId="0" fontId="6" fillId="0" borderId="29" xfId="0" applyFont="1" applyBorder="1" applyAlignment="1">
      <alignment horizontal="right"/>
    </xf>
    <xf numFmtId="173" fontId="6" fillId="33" borderId="31" xfId="42" applyNumberFormat="1" applyFont="1" applyFill="1" applyBorder="1" applyAlignment="1" quotePrefix="1">
      <alignment horizontal="center"/>
    </xf>
    <xf numFmtId="168" fontId="6" fillId="33" borderId="31" xfId="59" applyNumberFormat="1" applyFont="1" applyFill="1" applyBorder="1" applyAlignment="1" quotePrefix="1">
      <alignment horizontal="center"/>
    </xf>
    <xf numFmtId="173" fontId="6" fillId="33" borderId="29" xfId="42" applyNumberFormat="1" applyFont="1" applyFill="1" applyBorder="1" applyAlignment="1">
      <alignment horizontal="center"/>
    </xf>
    <xf numFmtId="2" fontId="6" fillId="33" borderId="0" xfId="0" applyNumberFormat="1" applyFont="1" applyFill="1" applyAlignment="1">
      <alignment horizontal="center"/>
    </xf>
    <xf numFmtId="173" fontId="6" fillId="33" borderId="28" xfId="42" applyNumberFormat="1" applyFont="1" applyFill="1" applyBorder="1" applyAlignment="1">
      <alignment horizontal="center"/>
    </xf>
    <xf numFmtId="0" fontId="8" fillId="33" borderId="32" xfId="0" applyFont="1" applyFill="1" applyBorder="1" applyAlignment="1" applyProtection="1">
      <alignment horizontal="center"/>
      <protection locked="0"/>
    </xf>
    <xf numFmtId="0" fontId="8" fillId="33" borderId="51" xfId="0" applyFont="1" applyFill="1" applyBorder="1" applyAlignment="1" applyProtection="1">
      <alignment horizontal="center"/>
      <protection locked="0"/>
    </xf>
    <xf numFmtId="173" fontId="6" fillId="33" borderId="38" xfId="42" applyNumberFormat="1" applyFont="1" applyFill="1" applyBorder="1" applyAlignment="1" quotePrefix="1">
      <alignment/>
    </xf>
    <xf numFmtId="173" fontId="6" fillId="33" borderId="35" xfId="42" applyNumberFormat="1" applyFont="1" applyFill="1" applyBorder="1" applyAlignment="1" quotePrefix="1">
      <alignment/>
    </xf>
    <xf numFmtId="173" fontId="6" fillId="33" borderId="36" xfId="42" applyNumberFormat="1" applyFont="1" applyFill="1" applyBorder="1" applyAlignment="1" quotePrefix="1">
      <alignment/>
    </xf>
    <xf numFmtId="0" fontId="8" fillId="33" borderId="37" xfId="0" applyFont="1" applyFill="1" applyBorder="1" applyAlignment="1" applyProtection="1">
      <alignment horizontal="center"/>
      <protection locked="0"/>
    </xf>
    <xf numFmtId="0" fontId="8" fillId="33" borderId="33"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0" fillId="33" borderId="0" xfId="0" applyFill="1" applyBorder="1" applyAlignment="1">
      <alignment/>
    </xf>
    <xf numFmtId="0" fontId="13" fillId="33" borderId="0" xfId="0" applyFont="1" applyFill="1" applyBorder="1" applyAlignment="1">
      <alignment horizontal="center"/>
    </xf>
    <xf numFmtId="0" fontId="16" fillId="33" borderId="0" xfId="0" applyFont="1" applyFill="1" applyAlignment="1">
      <alignment/>
    </xf>
    <xf numFmtId="16" fontId="6" fillId="33" borderId="25" xfId="0" applyNumberFormat="1" applyFont="1" applyFill="1" applyBorder="1" applyAlignment="1">
      <alignment horizontal="center"/>
    </xf>
    <xf numFmtId="0" fontId="6" fillId="33" borderId="26" xfId="0" applyFont="1" applyFill="1" applyBorder="1" applyAlignment="1">
      <alignment horizontal="center"/>
    </xf>
    <xf numFmtId="16" fontId="6" fillId="33" borderId="27" xfId="0" applyNumberFormat="1" applyFont="1" applyFill="1" applyBorder="1" applyAlignment="1">
      <alignment horizontal="center"/>
    </xf>
    <xf numFmtId="0" fontId="6" fillId="33" borderId="35" xfId="0" applyFont="1" applyFill="1" applyBorder="1" applyAlignment="1">
      <alignment/>
    </xf>
    <xf numFmtId="0" fontId="6" fillId="33" borderId="35" xfId="0" applyFont="1" applyFill="1" applyBorder="1" applyAlignment="1">
      <alignment horizontal="center"/>
    </xf>
    <xf numFmtId="0" fontId="6" fillId="33" borderId="36" xfId="0" applyFont="1" applyFill="1" applyBorder="1" applyAlignment="1">
      <alignment/>
    </xf>
    <xf numFmtId="0" fontId="6" fillId="33" borderId="36" xfId="0" applyFont="1" applyFill="1" applyBorder="1" applyAlignment="1">
      <alignment horizontal="center"/>
    </xf>
    <xf numFmtId="0" fontId="6" fillId="33" borderId="0" xfId="0" applyFont="1" applyFill="1" applyBorder="1" applyAlignment="1">
      <alignment horizontal="center"/>
    </xf>
    <xf numFmtId="0" fontId="6" fillId="33" borderId="0" xfId="0" applyFont="1" applyFill="1" applyBorder="1" applyAlignment="1">
      <alignment/>
    </xf>
    <xf numFmtId="0" fontId="6" fillId="33" borderId="51" xfId="0" applyFont="1" applyFill="1" applyBorder="1" applyAlignment="1">
      <alignment horizontal="center"/>
    </xf>
    <xf numFmtId="0" fontId="7" fillId="33" borderId="0" xfId="0" applyFont="1" applyFill="1" applyBorder="1" applyAlignment="1" quotePrefix="1">
      <alignment horizontal="left"/>
    </xf>
    <xf numFmtId="0" fontId="6" fillId="33" borderId="25" xfId="0" applyFont="1" applyFill="1" applyBorder="1" applyAlignment="1">
      <alignment horizontal="center"/>
    </xf>
    <xf numFmtId="0" fontId="6" fillId="33" borderId="26" xfId="0" applyFont="1" applyFill="1" applyBorder="1" applyAlignment="1">
      <alignment horizontal="center"/>
    </xf>
    <xf numFmtId="0" fontId="6" fillId="33" borderId="27" xfId="0" applyFont="1" applyFill="1" applyBorder="1" applyAlignment="1">
      <alignment horizontal="center"/>
    </xf>
    <xf numFmtId="0" fontId="6" fillId="33"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larchmontyc.org/racing/2004-RW-one-design-results-3.html" TargetMode="Externa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larchmontyc.org/racing/2004-Labor-Day-Results-1.htm" TargetMode="Externa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larchmontyc.org/racing/2004-Columbus-Day-results2.htm" TargetMode="External" /><Relationship Id="rId2" Type="http://schemas.openxmlformats.org/officeDocument/2006/relationships/hyperlink" Target="http://www.starclass.org/search.cgi?Action=view&amp;Event_id=388" TargetMode="External" /><Relationship Id="rId3"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hyperlink" Target="http://www.larchmontyc.org/Race_Committee/2005_RWSR_OD_RST.pdf"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larchmontyc.org/Race_Committee/2005_SHNAT_RST.pdf"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1:BD42"/>
  <sheetViews>
    <sheetView tabSelected="1" zoomScalePageLayoutView="0" workbookViewId="0" topLeftCell="A1">
      <pane xSplit="7" ySplit="10" topLeftCell="H11" activePane="bottomRight" state="frozen"/>
      <selection pane="topLeft" activeCell="A2" sqref="A1:IV16384"/>
      <selection pane="topRight" activeCell="A2" sqref="A1:IV16384"/>
      <selection pane="bottomLeft" activeCell="A2" sqref="A1:IV16384"/>
      <selection pane="bottomRight" activeCell="A1" sqref="A1"/>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48" width="4.140625" style="28" customWidth="1"/>
    <col min="49" max="52" width="9.140625" style="28" customWidth="1"/>
    <col min="53" max="55" width="8.140625" style="28" customWidth="1"/>
    <col min="56" max="16384" width="9.140625" style="28" customWidth="1"/>
  </cols>
  <sheetData>
    <row r="1" spans="1:32" ht="11.25">
      <c r="A1" s="28" t="s">
        <v>7</v>
      </c>
      <c r="AF1" s="28" t="s">
        <v>7</v>
      </c>
    </row>
    <row r="2" ht="11.25">
      <c r="D2" s="24" t="s">
        <v>306</v>
      </c>
    </row>
    <row r="3" ht="11.25">
      <c r="D3" s="28" t="s">
        <v>556</v>
      </c>
    </row>
    <row r="4" spans="4:48" ht="11.25">
      <c r="D4" s="28" t="s">
        <v>114</v>
      </c>
      <c r="H4" s="29" t="s">
        <v>104</v>
      </c>
      <c r="I4" s="30"/>
      <c r="J4" s="30"/>
      <c r="K4" s="30"/>
      <c r="L4" s="30"/>
      <c r="M4" s="30"/>
      <c r="N4" s="30"/>
      <c r="O4" s="50"/>
      <c r="P4" s="50"/>
      <c r="Q4" s="50"/>
      <c r="R4" s="50"/>
      <c r="S4" s="50"/>
      <c r="T4" s="50"/>
      <c r="U4" s="30"/>
      <c r="V4" s="30"/>
      <c r="W4" s="30"/>
      <c r="X4" s="31"/>
      <c r="AG4" s="29" t="s">
        <v>105</v>
      </c>
      <c r="AH4" s="30"/>
      <c r="AI4" s="30"/>
      <c r="AJ4" s="50"/>
      <c r="AK4" s="50"/>
      <c r="AL4" s="50"/>
      <c r="AM4" s="50"/>
      <c r="AN4" s="50"/>
      <c r="AO4" s="50"/>
      <c r="AP4" s="50"/>
      <c r="AQ4" s="30"/>
      <c r="AR4" s="30"/>
      <c r="AS4" s="50"/>
      <c r="AT4" s="50"/>
      <c r="AU4" s="30"/>
      <c r="AV4" s="31"/>
    </row>
    <row r="5" spans="4:48" ht="11.25">
      <c r="D5" s="192"/>
      <c r="H5" s="235" t="s">
        <v>113</v>
      </c>
      <c r="I5" s="236"/>
      <c r="J5" s="236"/>
      <c r="K5" s="237"/>
      <c r="L5" s="54" t="s">
        <v>320</v>
      </c>
      <c r="M5" s="54" t="s">
        <v>117</v>
      </c>
      <c r="N5" s="54" t="s">
        <v>116</v>
      </c>
      <c r="O5" s="53" t="s">
        <v>120</v>
      </c>
      <c r="P5" s="52"/>
      <c r="Q5" s="52"/>
      <c r="R5" s="52"/>
      <c r="S5" s="52"/>
      <c r="T5" s="126"/>
      <c r="U5" s="236" t="s">
        <v>118</v>
      </c>
      <c r="V5" s="236"/>
      <c r="W5" s="236"/>
      <c r="X5" s="237"/>
      <c r="Y5" s="235" t="s">
        <v>92</v>
      </c>
      <c r="Z5" s="236"/>
      <c r="AA5" s="236"/>
      <c r="AB5" s="236"/>
      <c r="AC5" s="236"/>
      <c r="AD5" s="236"/>
      <c r="AE5" s="236"/>
      <c r="AF5" s="236"/>
      <c r="AG5" s="54" t="s">
        <v>116</v>
      </c>
      <c r="AH5" s="235" t="s">
        <v>353</v>
      </c>
      <c r="AI5" s="236"/>
      <c r="AJ5" s="235" t="s">
        <v>355</v>
      </c>
      <c r="AK5" s="236"/>
      <c r="AL5" s="236"/>
      <c r="AM5" s="236"/>
      <c r="AN5" s="236"/>
      <c r="AO5" s="236"/>
      <c r="AP5" s="237"/>
      <c r="AQ5" s="236" t="s">
        <v>117</v>
      </c>
      <c r="AR5" s="236"/>
      <c r="AS5" s="235" t="s">
        <v>544</v>
      </c>
      <c r="AT5" s="237"/>
      <c r="AU5" s="235" t="s">
        <v>463</v>
      </c>
      <c r="AV5" s="237"/>
    </row>
    <row r="6" spans="3:48" ht="11.25">
      <c r="C6" s="38"/>
      <c r="D6" s="127"/>
      <c r="E6" s="106"/>
      <c r="F6" s="116"/>
      <c r="G6" s="117" t="s">
        <v>0</v>
      </c>
      <c r="H6" s="63" t="s">
        <v>99</v>
      </c>
      <c r="I6" s="42" t="s">
        <v>99</v>
      </c>
      <c r="J6" s="42" t="s">
        <v>99</v>
      </c>
      <c r="K6" s="42" t="s">
        <v>235</v>
      </c>
      <c r="L6" s="42" t="s">
        <v>99</v>
      </c>
      <c r="M6" s="42" t="s">
        <v>99</v>
      </c>
      <c r="N6" s="42" t="s">
        <v>322</v>
      </c>
      <c r="O6" s="42" t="s">
        <v>99</v>
      </c>
      <c r="P6" s="42" t="s">
        <v>99</v>
      </c>
      <c r="Q6" s="42" t="s">
        <v>323</v>
      </c>
      <c r="R6" s="42" t="s">
        <v>99</v>
      </c>
      <c r="S6" s="42" t="s">
        <v>99</v>
      </c>
      <c r="T6" s="42" t="s">
        <v>99</v>
      </c>
      <c r="U6" s="42"/>
      <c r="V6" s="42"/>
      <c r="W6" s="42"/>
      <c r="X6" s="42"/>
      <c r="Y6" s="42" t="s">
        <v>99</v>
      </c>
      <c r="Z6" s="42" t="s">
        <v>99</v>
      </c>
      <c r="AA6" s="42" t="s">
        <v>99</v>
      </c>
      <c r="AB6" s="42" t="s">
        <v>322</v>
      </c>
      <c r="AC6" s="42" t="s">
        <v>235</v>
      </c>
      <c r="AD6" s="42" t="s">
        <v>99</v>
      </c>
      <c r="AE6" s="42" t="s">
        <v>99</v>
      </c>
      <c r="AF6" s="42" t="s">
        <v>235</v>
      </c>
      <c r="AG6" s="42" t="s">
        <v>322</v>
      </c>
      <c r="AH6" s="42" t="s">
        <v>322</v>
      </c>
      <c r="AI6" s="42" t="s">
        <v>322</v>
      </c>
      <c r="AJ6" s="51" t="s">
        <v>99</v>
      </c>
      <c r="AK6" s="51" t="s">
        <v>99</v>
      </c>
      <c r="AL6" s="51" t="s">
        <v>99</v>
      </c>
      <c r="AM6" s="51" t="s">
        <v>99</v>
      </c>
      <c r="AN6" s="51" t="s">
        <v>99</v>
      </c>
      <c r="AO6" s="51" t="s">
        <v>99</v>
      </c>
      <c r="AP6" s="51" t="s">
        <v>99</v>
      </c>
      <c r="AQ6" s="42"/>
      <c r="AR6" s="42"/>
      <c r="AS6" s="51"/>
      <c r="AT6" s="51"/>
      <c r="AU6" s="42"/>
      <c r="AV6" s="42"/>
    </row>
    <row r="7" spans="3:48" ht="11.25">
      <c r="C7" s="40"/>
      <c r="D7" s="64"/>
      <c r="E7" s="57"/>
      <c r="F7" s="118"/>
      <c r="G7" s="119" t="s">
        <v>1</v>
      </c>
      <c r="H7" s="113">
        <v>190</v>
      </c>
      <c r="I7" s="43">
        <v>190</v>
      </c>
      <c r="J7" s="43">
        <v>330</v>
      </c>
      <c r="K7" s="43">
        <v>330</v>
      </c>
      <c r="L7" s="42">
        <v>180</v>
      </c>
      <c r="M7" s="42">
        <v>230</v>
      </c>
      <c r="N7" s="42">
        <v>130</v>
      </c>
      <c r="O7" s="42">
        <v>220</v>
      </c>
      <c r="P7" s="42">
        <v>220</v>
      </c>
      <c r="Q7" s="42">
        <v>210</v>
      </c>
      <c r="R7" s="42">
        <v>210</v>
      </c>
      <c r="S7" s="42">
        <v>210</v>
      </c>
      <c r="T7" s="42">
        <v>210</v>
      </c>
      <c r="U7" s="42"/>
      <c r="V7" s="42"/>
      <c r="W7" s="42"/>
      <c r="X7" s="42"/>
      <c r="Y7" s="42">
        <v>85</v>
      </c>
      <c r="Z7" s="42">
        <v>85</v>
      </c>
      <c r="AA7" s="42">
        <v>85</v>
      </c>
      <c r="AB7" s="42">
        <v>90</v>
      </c>
      <c r="AC7" s="42">
        <v>135</v>
      </c>
      <c r="AD7" s="42">
        <v>10</v>
      </c>
      <c r="AE7" s="42">
        <v>10</v>
      </c>
      <c r="AF7" s="42">
        <v>170</v>
      </c>
      <c r="AG7" s="42">
        <v>135</v>
      </c>
      <c r="AH7" s="42">
        <v>300</v>
      </c>
      <c r="AI7" s="42">
        <v>300</v>
      </c>
      <c r="AJ7" s="42">
        <v>175</v>
      </c>
      <c r="AK7" s="42">
        <v>175</v>
      </c>
      <c r="AL7" s="42">
        <v>175</v>
      </c>
      <c r="AM7" s="42">
        <v>175</v>
      </c>
      <c r="AN7" s="42">
        <v>175</v>
      </c>
      <c r="AO7" s="42">
        <v>175</v>
      </c>
      <c r="AP7" s="42">
        <v>175</v>
      </c>
      <c r="AQ7" s="42"/>
      <c r="AR7" s="42"/>
      <c r="AS7" s="42"/>
      <c r="AT7" s="42"/>
      <c r="AU7" s="42"/>
      <c r="AV7" s="42"/>
    </row>
    <row r="8" spans="3:48" ht="11.25">
      <c r="C8" s="40"/>
      <c r="D8" s="64"/>
      <c r="E8" s="57"/>
      <c r="F8" s="118"/>
      <c r="G8" s="119" t="s">
        <v>2</v>
      </c>
      <c r="H8" s="63">
        <v>12</v>
      </c>
      <c r="I8" s="42">
        <v>20</v>
      </c>
      <c r="J8" s="45" t="s">
        <v>168</v>
      </c>
      <c r="K8" s="44" t="s">
        <v>167</v>
      </c>
      <c r="L8" s="112">
        <v>5</v>
      </c>
      <c r="M8" s="44">
        <v>5</v>
      </c>
      <c r="N8" s="44">
        <v>5</v>
      </c>
      <c r="O8" s="44">
        <v>8</v>
      </c>
      <c r="P8" s="44">
        <v>8</v>
      </c>
      <c r="Q8" s="44">
        <v>12</v>
      </c>
      <c r="R8" s="44">
        <v>8</v>
      </c>
      <c r="S8" s="44">
        <v>8</v>
      </c>
      <c r="T8" s="44">
        <v>10</v>
      </c>
      <c r="U8" s="44"/>
      <c r="V8" s="44"/>
      <c r="W8" s="44"/>
      <c r="X8" s="44"/>
      <c r="Y8" s="44">
        <v>10</v>
      </c>
      <c r="Z8" s="44">
        <v>10</v>
      </c>
      <c r="AA8" s="44">
        <v>12</v>
      </c>
      <c r="AB8" s="44">
        <v>5</v>
      </c>
      <c r="AC8" s="44">
        <v>3</v>
      </c>
      <c r="AD8" s="44">
        <v>20</v>
      </c>
      <c r="AE8" s="44">
        <v>15</v>
      </c>
      <c r="AF8" s="44">
        <v>2</v>
      </c>
      <c r="AG8" s="44">
        <v>2</v>
      </c>
      <c r="AH8" s="44">
        <v>2</v>
      </c>
      <c r="AI8" s="44">
        <v>1</v>
      </c>
      <c r="AJ8" s="44">
        <v>15</v>
      </c>
      <c r="AK8" s="44">
        <v>15</v>
      </c>
      <c r="AL8" s="44">
        <v>15</v>
      </c>
      <c r="AM8" s="44">
        <v>15</v>
      </c>
      <c r="AN8" s="44">
        <v>10</v>
      </c>
      <c r="AO8" s="44">
        <v>8</v>
      </c>
      <c r="AP8" s="44">
        <v>5</v>
      </c>
      <c r="AQ8" s="44"/>
      <c r="AR8" s="44"/>
      <c r="AS8" s="44"/>
      <c r="AT8" s="44"/>
      <c r="AU8" s="44"/>
      <c r="AV8" s="44"/>
    </row>
    <row r="9" spans="3:53" ht="11.25">
      <c r="C9" s="61"/>
      <c r="D9" s="128"/>
      <c r="E9" s="57">
        <f>COUNTIF($H9:AV9,"&gt;0")</f>
        <v>41</v>
      </c>
      <c r="F9" s="120"/>
      <c r="G9" s="121" t="s">
        <v>3</v>
      </c>
      <c r="H9" s="63">
        <v>12</v>
      </c>
      <c r="I9" s="42">
        <v>12</v>
      </c>
      <c r="J9" s="42">
        <v>11</v>
      </c>
      <c r="K9" s="42">
        <v>11</v>
      </c>
      <c r="L9" s="42">
        <v>13</v>
      </c>
      <c r="M9" s="42">
        <v>11</v>
      </c>
      <c r="N9" s="42">
        <v>12</v>
      </c>
      <c r="O9" s="42">
        <v>20</v>
      </c>
      <c r="P9" s="42">
        <v>19</v>
      </c>
      <c r="Q9" s="42">
        <v>17</v>
      </c>
      <c r="R9" s="42">
        <v>19</v>
      </c>
      <c r="S9" s="42">
        <v>19</v>
      </c>
      <c r="T9" s="42">
        <v>18</v>
      </c>
      <c r="U9" s="42">
        <v>10</v>
      </c>
      <c r="V9" s="42">
        <v>10</v>
      </c>
      <c r="W9" s="42">
        <v>9</v>
      </c>
      <c r="X9" s="42">
        <v>7</v>
      </c>
      <c r="Y9" s="42">
        <v>15</v>
      </c>
      <c r="Z9" s="42">
        <v>15</v>
      </c>
      <c r="AA9" s="42">
        <v>15</v>
      </c>
      <c r="AB9" s="42">
        <v>17</v>
      </c>
      <c r="AC9" s="42">
        <v>16</v>
      </c>
      <c r="AD9" s="42">
        <v>17</v>
      </c>
      <c r="AE9" s="42">
        <v>16</v>
      </c>
      <c r="AF9" s="42">
        <v>15</v>
      </c>
      <c r="AG9" s="42">
        <v>13</v>
      </c>
      <c r="AH9" s="42">
        <v>8</v>
      </c>
      <c r="AI9" s="42">
        <v>8</v>
      </c>
      <c r="AJ9" s="42">
        <v>8</v>
      </c>
      <c r="AK9" s="42">
        <v>8</v>
      </c>
      <c r="AL9" s="42">
        <v>7</v>
      </c>
      <c r="AM9" s="42">
        <v>7</v>
      </c>
      <c r="AN9" s="42">
        <v>8</v>
      </c>
      <c r="AO9" s="42">
        <v>8</v>
      </c>
      <c r="AP9" s="42">
        <v>7</v>
      </c>
      <c r="AQ9" s="42">
        <v>6</v>
      </c>
      <c r="AR9" s="42">
        <v>4</v>
      </c>
      <c r="AS9" s="42">
        <v>7</v>
      </c>
      <c r="AT9" s="42">
        <v>6</v>
      </c>
      <c r="AU9" s="42">
        <v>6</v>
      </c>
      <c r="AV9" s="42">
        <v>6</v>
      </c>
      <c r="BA9" s="28" t="s">
        <v>551</v>
      </c>
    </row>
    <row r="10" spans="3:56" ht="37.5">
      <c r="C10" s="42" t="s">
        <v>256</v>
      </c>
      <c r="D10" s="125" t="s">
        <v>227</v>
      </c>
      <c r="E10" s="37" t="s">
        <v>4</v>
      </c>
      <c r="F10" s="37" t="s">
        <v>5</v>
      </c>
      <c r="G10" s="152" t="s">
        <v>6</v>
      </c>
      <c r="H10" s="37">
        <v>38135</v>
      </c>
      <c r="I10" s="37">
        <v>38135</v>
      </c>
      <c r="J10" s="37">
        <v>38136</v>
      </c>
      <c r="K10" s="37">
        <v>38136</v>
      </c>
      <c r="L10" s="37">
        <v>38142</v>
      </c>
      <c r="M10" s="37">
        <v>38149</v>
      </c>
      <c r="N10" s="37">
        <v>38156</v>
      </c>
      <c r="O10" s="37">
        <v>38163</v>
      </c>
      <c r="P10" s="37">
        <v>38163</v>
      </c>
      <c r="Q10" s="37">
        <v>38163</v>
      </c>
      <c r="R10" s="37">
        <v>38164</v>
      </c>
      <c r="S10" s="37">
        <v>38164</v>
      </c>
      <c r="T10" s="37">
        <v>38164</v>
      </c>
      <c r="U10" s="37">
        <v>38170</v>
      </c>
      <c r="V10" s="37">
        <v>38170</v>
      </c>
      <c r="W10" s="37">
        <v>38171</v>
      </c>
      <c r="X10" s="37">
        <v>38171</v>
      </c>
      <c r="Y10" s="37">
        <v>38184</v>
      </c>
      <c r="Z10" s="37">
        <v>38184</v>
      </c>
      <c r="AA10" s="37">
        <v>38184</v>
      </c>
      <c r="AB10" s="37">
        <v>38185</v>
      </c>
      <c r="AC10" s="37">
        <v>38185</v>
      </c>
      <c r="AD10" s="37">
        <v>38191</v>
      </c>
      <c r="AE10" s="37">
        <v>38191</v>
      </c>
      <c r="AF10" s="37">
        <v>38192</v>
      </c>
      <c r="AG10" s="37">
        <v>38205</v>
      </c>
      <c r="AH10" s="37">
        <v>38219</v>
      </c>
      <c r="AI10" s="37">
        <v>38219</v>
      </c>
      <c r="AJ10" s="37">
        <v>38226</v>
      </c>
      <c r="AK10" s="37">
        <v>38226</v>
      </c>
      <c r="AL10" s="37">
        <v>38226</v>
      </c>
      <c r="AM10" s="37">
        <v>38226</v>
      </c>
      <c r="AN10" s="37">
        <v>38227</v>
      </c>
      <c r="AO10" s="37">
        <v>38227</v>
      </c>
      <c r="AP10" s="37">
        <v>38227</v>
      </c>
      <c r="AQ10" s="37">
        <v>38233</v>
      </c>
      <c r="AR10" s="37">
        <v>38233</v>
      </c>
      <c r="AS10" s="37">
        <v>38261</v>
      </c>
      <c r="AT10" s="37">
        <v>38261</v>
      </c>
      <c r="AU10" s="37">
        <v>38269</v>
      </c>
      <c r="AV10" s="37">
        <v>38269</v>
      </c>
      <c r="AZ10" s="105"/>
      <c r="BA10" s="42" t="s">
        <v>548</v>
      </c>
      <c r="BB10" s="42" t="s">
        <v>549</v>
      </c>
      <c r="BC10" s="42" t="s">
        <v>550</v>
      </c>
      <c r="BD10" s="42" t="s">
        <v>552</v>
      </c>
    </row>
    <row r="11" spans="2:56" ht="11.25">
      <c r="B11" s="28">
        <v>1</v>
      </c>
      <c r="C11" s="39">
        <v>25</v>
      </c>
      <c r="D11" s="38" t="s">
        <v>162</v>
      </c>
      <c r="E11" s="49">
        <f aca="true" t="shared" si="0" ref="E11:E35">COUNTA(H11:AV11)+BD11</f>
        <v>40</v>
      </c>
      <c r="F11" s="49">
        <f aca="true" t="shared" si="1" ref="F11:F35">MIN(INT(E11/10),3)</f>
        <v>3</v>
      </c>
      <c r="G11" s="62">
        <f>C_S_G($H11:AV11,$H$9:AV$9,csg_table,E$9,F11)</f>
        <v>0.8986534372785259</v>
      </c>
      <c r="H11" s="49">
        <v>1</v>
      </c>
      <c r="I11" s="49">
        <v>2</v>
      </c>
      <c r="J11" s="49">
        <v>7</v>
      </c>
      <c r="K11" s="49">
        <v>4</v>
      </c>
      <c r="L11" s="49">
        <v>2</v>
      </c>
      <c r="M11" s="49">
        <v>6</v>
      </c>
      <c r="N11" s="49">
        <v>2</v>
      </c>
      <c r="O11" s="49">
        <v>2</v>
      </c>
      <c r="P11" s="49">
        <v>1</v>
      </c>
      <c r="Q11" s="49">
        <v>14</v>
      </c>
      <c r="R11" s="49">
        <v>5</v>
      </c>
      <c r="S11" s="49">
        <v>3</v>
      </c>
      <c r="T11" s="49">
        <v>1</v>
      </c>
      <c r="U11" s="49">
        <v>4</v>
      </c>
      <c r="V11" s="49">
        <v>1</v>
      </c>
      <c r="W11" s="49">
        <v>1</v>
      </c>
      <c r="X11" s="49">
        <v>2</v>
      </c>
      <c r="Y11" s="49">
        <v>6</v>
      </c>
      <c r="Z11" s="49">
        <v>1</v>
      </c>
      <c r="AA11" s="49">
        <v>4</v>
      </c>
      <c r="AB11" s="49">
        <v>3</v>
      </c>
      <c r="AC11" s="49">
        <v>3</v>
      </c>
      <c r="AD11" s="49">
        <v>4</v>
      </c>
      <c r="AE11" s="49">
        <v>8</v>
      </c>
      <c r="AF11" s="49">
        <v>4</v>
      </c>
      <c r="AG11" s="49">
        <v>8</v>
      </c>
      <c r="AH11" s="49">
        <v>5</v>
      </c>
      <c r="AI11" s="49">
        <v>1</v>
      </c>
      <c r="AJ11" s="49">
        <v>3</v>
      </c>
      <c r="AK11" s="49">
        <v>3</v>
      </c>
      <c r="AL11" s="49">
        <v>6</v>
      </c>
      <c r="AM11" s="49">
        <v>1</v>
      </c>
      <c r="AN11" s="49">
        <v>3</v>
      </c>
      <c r="AO11" s="49">
        <v>2</v>
      </c>
      <c r="AP11" s="49">
        <v>1</v>
      </c>
      <c r="AQ11" s="49"/>
      <c r="AR11" s="49"/>
      <c r="AS11" s="49">
        <v>1</v>
      </c>
      <c r="AT11" s="49">
        <v>2</v>
      </c>
      <c r="AU11" s="49"/>
      <c r="AV11" s="49"/>
      <c r="AZ11" s="39">
        <f>C11</f>
        <v>25</v>
      </c>
      <c r="BA11" s="38">
        <f>VLOOKUP(C11,'2005Nationals'!$C$8:$M$31,11,FALSE)</f>
        <v>13</v>
      </c>
      <c r="BB11" s="38">
        <f>VLOOKUP(C11,'2005NOOD'!$C$9:$K$26,9,FALSE)</f>
        <v>1</v>
      </c>
      <c r="BC11" s="38">
        <f>VLOOKUP('2005Season'!C11,'2005Crew'!$C$9:$H$16,6,FALSE)</f>
        <v>0</v>
      </c>
      <c r="BD11" s="38">
        <f aca="true" t="shared" si="2" ref="BD11:BD30">COUNT(BA11:BC11)</f>
        <v>3</v>
      </c>
    </row>
    <row r="12" spans="2:56" ht="11.25">
      <c r="B12" s="28">
        <v>2</v>
      </c>
      <c r="C12" s="41">
        <v>231</v>
      </c>
      <c r="D12" s="40" t="s">
        <v>224</v>
      </c>
      <c r="E12" s="33">
        <f t="shared" si="0"/>
        <v>24</v>
      </c>
      <c r="F12" s="33">
        <f t="shared" si="1"/>
        <v>2</v>
      </c>
      <c r="G12" s="34">
        <f>C_S_G($H12:AV12,$H$9:AV$9,csg_table,E$9,F12)</f>
        <v>0.89035350509287</v>
      </c>
      <c r="H12" s="33"/>
      <c r="I12" s="33"/>
      <c r="J12" s="33"/>
      <c r="K12" s="33"/>
      <c r="L12" s="33">
        <v>1</v>
      </c>
      <c r="M12" s="33"/>
      <c r="N12" s="33">
        <v>8</v>
      </c>
      <c r="O12" s="33">
        <v>13</v>
      </c>
      <c r="P12" s="33">
        <v>6</v>
      </c>
      <c r="Q12" s="33">
        <v>2</v>
      </c>
      <c r="R12" s="33">
        <v>3</v>
      </c>
      <c r="S12" s="33">
        <v>2</v>
      </c>
      <c r="T12" s="33">
        <v>11</v>
      </c>
      <c r="U12" s="33"/>
      <c r="V12" s="33"/>
      <c r="W12" s="33"/>
      <c r="X12" s="33"/>
      <c r="Y12" s="33">
        <v>1</v>
      </c>
      <c r="Z12" s="33">
        <v>6</v>
      </c>
      <c r="AA12" s="33">
        <v>2</v>
      </c>
      <c r="AB12" s="33">
        <v>2</v>
      </c>
      <c r="AC12" s="33">
        <v>5</v>
      </c>
      <c r="AD12" s="33">
        <v>2</v>
      </c>
      <c r="AE12" s="33">
        <v>3</v>
      </c>
      <c r="AF12" s="33">
        <v>2</v>
      </c>
      <c r="AG12" s="33">
        <v>6</v>
      </c>
      <c r="AH12" s="33"/>
      <c r="AI12" s="33"/>
      <c r="AJ12" s="33"/>
      <c r="AK12" s="33"/>
      <c r="AL12" s="33"/>
      <c r="AM12" s="33" t="s">
        <v>7</v>
      </c>
      <c r="AN12" s="33"/>
      <c r="AO12" s="33"/>
      <c r="AP12" s="33"/>
      <c r="AQ12" s="33"/>
      <c r="AR12" s="33"/>
      <c r="AS12" s="33">
        <v>2</v>
      </c>
      <c r="AT12" s="33">
        <v>1</v>
      </c>
      <c r="AU12" s="33">
        <v>2</v>
      </c>
      <c r="AV12" s="33">
        <v>4</v>
      </c>
      <c r="AZ12" s="41">
        <f aca="true" t="shared" si="3" ref="AZ12:AZ35">C12</f>
        <v>231</v>
      </c>
      <c r="BA12" s="40">
        <f>VLOOKUP(C12,'2005Nationals'!$C$8:$M$31,11,FALSE)</f>
        <v>9</v>
      </c>
      <c r="BB12" s="40">
        <f>VLOOKUP(C12,'2005NOOD'!$C$9:$K$26,9,FALSE)</f>
        <v>10</v>
      </c>
      <c r="BC12" s="40" t="e">
        <f>VLOOKUP('2005Season'!C12,'2005Crew'!$C$9:$H$16,6,FALSE)</f>
        <v>#N/A</v>
      </c>
      <c r="BD12" s="40">
        <f t="shared" si="2"/>
        <v>2</v>
      </c>
    </row>
    <row r="13" spans="2:56" ht="11.25">
      <c r="B13" s="28">
        <v>3</v>
      </c>
      <c r="C13" s="41">
        <v>23</v>
      </c>
      <c r="D13" s="40" t="s">
        <v>487</v>
      </c>
      <c r="E13" s="33">
        <f t="shared" si="0"/>
        <v>35</v>
      </c>
      <c r="F13" s="33">
        <f t="shared" si="1"/>
        <v>3</v>
      </c>
      <c r="G13" s="34">
        <f>C_S_G($H13:AV13,$H$9:AV$9,csg_table,E$9,F13)</f>
        <v>0.8663145062982528</v>
      </c>
      <c r="H13" s="33">
        <v>4</v>
      </c>
      <c r="I13" s="33">
        <v>3</v>
      </c>
      <c r="J13" s="33">
        <v>3</v>
      </c>
      <c r="K13" s="33">
        <v>2</v>
      </c>
      <c r="L13" s="33">
        <v>4</v>
      </c>
      <c r="M13" s="33">
        <v>3</v>
      </c>
      <c r="N13" s="33"/>
      <c r="O13" s="33" t="s">
        <v>324</v>
      </c>
      <c r="P13" s="33">
        <v>3</v>
      </c>
      <c r="Q13" s="33">
        <v>11</v>
      </c>
      <c r="R13" s="33">
        <v>4</v>
      </c>
      <c r="S13" s="33">
        <v>6</v>
      </c>
      <c r="T13" s="33">
        <v>8</v>
      </c>
      <c r="U13" s="33">
        <v>1</v>
      </c>
      <c r="V13" s="33">
        <v>4</v>
      </c>
      <c r="W13" s="33">
        <v>2</v>
      </c>
      <c r="X13" s="33">
        <v>1</v>
      </c>
      <c r="Y13" s="33">
        <v>5</v>
      </c>
      <c r="Z13" s="33">
        <v>2</v>
      </c>
      <c r="AA13" s="33">
        <v>7</v>
      </c>
      <c r="AB13" s="33">
        <v>12</v>
      </c>
      <c r="AC13" s="33">
        <v>4</v>
      </c>
      <c r="AD13" s="33">
        <v>1</v>
      </c>
      <c r="AE13" s="33">
        <v>4</v>
      </c>
      <c r="AF13" s="33">
        <v>6</v>
      </c>
      <c r="AG13" s="33">
        <v>11</v>
      </c>
      <c r="AH13" s="33"/>
      <c r="AI13" s="33"/>
      <c r="AJ13" s="33">
        <v>6</v>
      </c>
      <c r="AK13" s="33">
        <v>1</v>
      </c>
      <c r="AL13" s="33">
        <v>2</v>
      </c>
      <c r="AM13" s="33">
        <v>2</v>
      </c>
      <c r="AN13" s="33">
        <v>1</v>
      </c>
      <c r="AO13" s="33">
        <v>3</v>
      </c>
      <c r="AP13" s="33">
        <v>4</v>
      </c>
      <c r="AQ13" s="33"/>
      <c r="AR13" s="33"/>
      <c r="AS13" s="33"/>
      <c r="AT13" s="33"/>
      <c r="AU13" s="33"/>
      <c r="AV13" s="33"/>
      <c r="AZ13" s="41">
        <f t="shared" si="3"/>
        <v>23</v>
      </c>
      <c r="BA13" s="40">
        <f>VLOOKUP(C13,'2005Nationals'!$C$8:$M$31,11,FALSE)</f>
        <v>3</v>
      </c>
      <c r="BB13" s="40">
        <f>VLOOKUP(C13,'2005NOOD'!$C$9:$K$26,9,FALSE)</f>
        <v>4</v>
      </c>
      <c r="BC13" s="40">
        <f>VLOOKUP('2005Season'!C13,'2005Crew'!$C$9:$H$16,6,FALSE)</f>
        <v>4</v>
      </c>
      <c r="BD13" s="40">
        <f t="shared" si="2"/>
        <v>3</v>
      </c>
    </row>
    <row r="14" spans="2:56" ht="11.25">
      <c r="B14" s="28">
        <v>4</v>
      </c>
      <c r="C14" s="41">
        <v>221</v>
      </c>
      <c r="D14" s="40" t="s">
        <v>211</v>
      </c>
      <c r="E14" s="33">
        <f t="shared" si="0"/>
        <v>23</v>
      </c>
      <c r="F14" s="33">
        <f t="shared" si="1"/>
        <v>2</v>
      </c>
      <c r="G14" s="34">
        <f>C_S_G($H14:AV14,$H$9:AV$9,csg_table,E$9,F14)</f>
        <v>0.8571428571428571</v>
      </c>
      <c r="H14" s="33"/>
      <c r="I14" s="33"/>
      <c r="J14" s="33">
        <v>5</v>
      </c>
      <c r="K14" s="33">
        <v>6</v>
      </c>
      <c r="L14" s="33"/>
      <c r="M14" s="33"/>
      <c r="N14" s="33"/>
      <c r="O14" s="33">
        <v>7</v>
      </c>
      <c r="P14" s="33">
        <v>2</v>
      </c>
      <c r="Q14" s="33">
        <v>3</v>
      </c>
      <c r="R14" s="33">
        <v>6</v>
      </c>
      <c r="S14" s="33">
        <v>8</v>
      </c>
      <c r="T14" s="33">
        <v>3</v>
      </c>
      <c r="U14" s="33"/>
      <c r="V14" s="33"/>
      <c r="W14" s="33"/>
      <c r="X14" s="33"/>
      <c r="Y14" s="33">
        <v>3</v>
      </c>
      <c r="Z14" s="33">
        <v>3</v>
      </c>
      <c r="AA14" s="33">
        <v>5</v>
      </c>
      <c r="AB14" s="33">
        <v>14</v>
      </c>
      <c r="AC14" s="33">
        <v>6</v>
      </c>
      <c r="AD14" s="33">
        <v>6</v>
      </c>
      <c r="AE14" s="33">
        <v>10</v>
      </c>
      <c r="AF14" s="33">
        <v>1</v>
      </c>
      <c r="AG14" s="33">
        <v>2</v>
      </c>
      <c r="AH14" s="33">
        <v>3</v>
      </c>
      <c r="AI14" s="33">
        <v>3</v>
      </c>
      <c r="AJ14" s="33"/>
      <c r="AK14" s="33"/>
      <c r="AL14" s="33"/>
      <c r="AM14" s="33"/>
      <c r="AN14" s="33"/>
      <c r="AO14" s="33"/>
      <c r="AP14" s="33"/>
      <c r="AQ14" s="33">
        <v>2</v>
      </c>
      <c r="AR14" s="33">
        <v>1</v>
      </c>
      <c r="AS14" s="33"/>
      <c r="AT14" s="33"/>
      <c r="AU14" s="33"/>
      <c r="AV14" s="33"/>
      <c r="AZ14" s="41">
        <f t="shared" si="3"/>
        <v>221</v>
      </c>
      <c r="BA14" s="40">
        <f>VLOOKUP(C14,'2005Nationals'!$C$8:$M$31,11,FALSE)</f>
        <v>16</v>
      </c>
      <c r="BB14" s="40">
        <f>VLOOKUP(C14,'2005NOOD'!$C$9:$K$26,9,FALSE)</f>
        <v>8</v>
      </c>
      <c r="BC14" s="40" t="e">
        <f>VLOOKUP('2005Season'!C14,'2005Crew'!$C$9:$H$16,6,FALSE)</f>
        <v>#N/A</v>
      </c>
      <c r="BD14" s="40">
        <f t="shared" si="2"/>
        <v>2</v>
      </c>
    </row>
    <row r="15" spans="2:56" ht="11.25">
      <c r="B15" s="28">
        <v>5</v>
      </c>
      <c r="C15" s="41">
        <v>49</v>
      </c>
      <c r="D15" s="40" t="s">
        <v>332</v>
      </c>
      <c r="E15" s="33">
        <f t="shared" si="0"/>
        <v>20</v>
      </c>
      <c r="F15" s="33">
        <f t="shared" si="1"/>
        <v>2</v>
      </c>
      <c r="G15" s="34">
        <f>C_S_G($H15:AV15,$H$9:AV$9,csg_table,E$9,F15)</f>
        <v>0.8570577724836212</v>
      </c>
      <c r="H15" s="33">
        <v>2</v>
      </c>
      <c r="I15" s="33">
        <v>1</v>
      </c>
      <c r="J15" s="33">
        <v>4</v>
      </c>
      <c r="K15" s="33">
        <v>1</v>
      </c>
      <c r="L15" s="33">
        <v>5</v>
      </c>
      <c r="M15" s="33"/>
      <c r="N15" s="33">
        <v>4</v>
      </c>
      <c r="O15" s="33">
        <v>3</v>
      </c>
      <c r="P15" s="33">
        <v>11</v>
      </c>
      <c r="Q15" s="33">
        <v>5</v>
      </c>
      <c r="R15" s="33">
        <v>7</v>
      </c>
      <c r="S15" s="33">
        <v>4</v>
      </c>
      <c r="T15" s="33">
        <v>9</v>
      </c>
      <c r="U15" s="33"/>
      <c r="V15" s="33"/>
      <c r="W15" s="33"/>
      <c r="X15" s="33"/>
      <c r="Y15" s="33">
        <v>2</v>
      </c>
      <c r="Z15" s="33" t="s">
        <v>233</v>
      </c>
      <c r="AA15" s="33">
        <v>6</v>
      </c>
      <c r="AB15" s="33">
        <v>1</v>
      </c>
      <c r="AC15" s="33" t="s">
        <v>324</v>
      </c>
      <c r="AD15" s="33">
        <v>8</v>
      </c>
      <c r="AE15" s="33">
        <v>6</v>
      </c>
      <c r="AF15" s="33"/>
      <c r="AG15" s="33">
        <v>1</v>
      </c>
      <c r="AH15" s="33"/>
      <c r="AI15" s="33"/>
      <c r="AJ15" s="33"/>
      <c r="AK15" s="33"/>
      <c r="AL15" s="33"/>
      <c r="AM15" s="33"/>
      <c r="AN15" s="33"/>
      <c r="AO15" s="33"/>
      <c r="AP15" s="33"/>
      <c r="AQ15" s="33"/>
      <c r="AR15" s="33"/>
      <c r="AS15" s="33"/>
      <c r="AT15" s="33"/>
      <c r="AU15" s="33"/>
      <c r="AV15" s="33"/>
      <c r="AZ15" s="41">
        <f t="shared" si="3"/>
        <v>49</v>
      </c>
      <c r="BA15" s="40" t="e">
        <f>VLOOKUP(C15,'2005Nationals'!$C$8:$M$31,11,FALSE)</f>
        <v>#N/A</v>
      </c>
      <c r="BB15" s="40" t="e">
        <f>VLOOKUP(C15,'2005NOOD'!$C$9:$K$26,9,FALSE)</f>
        <v>#N/A</v>
      </c>
      <c r="BC15" s="40" t="e">
        <f>VLOOKUP('2005Season'!C15,'2005Crew'!$C$9:$H$16,6,FALSE)</f>
        <v>#N/A</v>
      </c>
      <c r="BD15" s="40">
        <f t="shared" si="2"/>
        <v>0</v>
      </c>
    </row>
    <row r="16" spans="2:56" ht="11.25">
      <c r="B16" s="28">
        <v>6</v>
      </c>
      <c r="C16" s="41">
        <v>106</v>
      </c>
      <c r="D16" s="40" t="s">
        <v>311</v>
      </c>
      <c r="E16" s="33">
        <f t="shared" si="0"/>
        <v>27</v>
      </c>
      <c r="F16" s="33">
        <f t="shared" si="1"/>
        <v>2</v>
      </c>
      <c r="G16" s="34">
        <f>C_S_G($H16:AV16,$H$9:AV$9,csg_table,E$9,F16)</f>
        <v>0.8443465491923642</v>
      </c>
      <c r="H16" s="33">
        <v>3</v>
      </c>
      <c r="I16" s="33">
        <v>6</v>
      </c>
      <c r="J16" s="33">
        <v>6</v>
      </c>
      <c r="K16" s="33">
        <v>3</v>
      </c>
      <c r="L16" s="33">
        <v>3</v>
      </c>
      <c r="M16" s="33">
        <v>1</v>
      </c>
      <c r="N16" s="33">
        <v>3</v>
      </c>
      <c r="O16" s="33">
        <v>5</v>
      </c>
      <c r="P16" s="33">
        <v>9</v>
      </c>
      <c r="Q16" s="33">
        <v>8</v>
      </c>
      <c r="R16" s="33">
        <v>1</v>
      </c>
      <c r="S16" s="33">
        <v>5</v>
      </c>
      <c r="T16" s="33">
        <v>10</v>
      </c>
      <c r="U16" s="33">
        <v>5</v>
      </c>
      <c r="V16" s="33" t="s">
        <v>103</v>
      </c>
      <c r="W16" s="33"/>
      <c r="X16" s="33"/>
      <c r="Y16" s="33">
        <v>4</v>
      </c>
      <c r="Z16" s="33">
        <v>7</v>
      </c>
      <c r="AA16" s="33">
        <v>3</v>
      </c>
      <c r="AB16" s="33">
        <v>4</v>
      </c>
      <c r="AC16" s="33">
        <v>2</v>
      </c>
      <c r="AD16" s="33">
        <v>10</v>
      </c>
      <c r="AE16" s="33">
        <v>2</v>
      </c>
      <c r="AF16" s="33">
        <v>5</v>
      </c>
      <c r="AG16" s="33"/>
      <c r="AH16" s="33"/>
      <c r="AI16" s="33"/>
      <c r="AJ16" s="33"/>
      <c r="AK16" s="33"/>
      <c r="AL16" s="33"/>
      <c r="AM16" s="33"/>
      <c r="AN16" s="33"/>
      <c r="AO16" s="33"/>
      <c r="AP16" s="33"/>
      <c r="AQ16" s="33">
        <v>4</v>
      </c>
      <c r="AR16" s="33">
        <v>2</v>
      </c>
      <c r="AS16" s="33"/>
      <c r="AT16" s="33"/>
      <c r="AU16" s="33"/>
      <c r="AV16" s="33"/>
      <c r="AZ16" s="41">
        <f t="shared" si="3"/>
        <v>106</v>
      </c>
      <c r="BA16" s="40">
        <f>VLOOKUP(C16,'2005Nationals'!$C$8:$M$31,11,FALSE)</f>
        <v>8</v>
      </c>
      <c r="BB16" s="40">
        <f>VLOOKUP(C16,'2005NOOD'!$C$9:$K$26,9,FALSE)</f>
        <v>5</v>
      </c>
      <c r="BC16" s="40" t="e">
        <f>VLOOKUP('2005Season'!C16,'2005Crew'!$C$9:$H$16,6,FALSE)</f>
        <v>#N/A</v>
      </c>
      <c r="BD16" s="40">
        <f t="shared" si="2"/>
        <v>2</v>
      </c>
    </row>
    <row r="17" spans="2:56" ht="11.25">
      <c r="B17" s="28">
        <v>7</v>
      </c>
      <c r="C17" s="41">
        <v>182</v>
      </c>
      <c r="D17" s="40" t="s">
        <v>164</v>
      </c>
      <c r="E17" s="33">
        <f t="shared" si="0"/>
        <v>31</v>
      </c>
      <c r="F17" s="33">
        <f t="shared" si="1"/>
        <v>3</v>
      </c>
      <c r="G17" s="34">
        <f>C_S_G($H17:AV17,$H$9:AV$9,csg_table,E$9,F17)</f>
        <v>0.8285845588235294</v>
      </c>
      <c r="H17" s="33">
        <v>5</v>
      </c>
      <c r="I17" s="33">
        <v>5</v>
      </c>
      <c r="J17" s="33"/>
      <c r="K17" s="33"/>
      <c r="L17" s="33"/>
      <c r="M17" s="33">
        <v>4</v>
      </c>
      <c r="N17" s="33"/>
      <c r="O17" s="33">
        <v>10</v>
      </c>
      <c r="P17" s="33">
        <v>7</v>
      </c>
      <c r="Q17" s="33">
        <v>9</v>
      </c>
      <c r="R17" s="33">
        <v>10</v>
      </c>
      <c r="S17" s="33">
        <v>7</v>
      </c>
      <c r="T17" s="33">
        <v>5</v>
      </c>
      <c r="U17" s="33">
        <v>6</v>
      </c>
      <c r="V17" s="33">
        <v>2</v>
      </c>
      <c r="W17" s="33"/>
      <c r="X17" s="33"/>
      <c r="Y17" s="33">
        <v>9</v>
      </c>
      <c r="Z17" s="33">
        <v>5</v>
      </c>
      <c r="AA17" s="33">
        <v>8</v>
      </c>
      <c r="AB17" s="33">
        <v>10</v>
      </c>
      <c r="AC17" s="33">
        <v>11</v>
      </c>
      <c r="AD17" s="33">
        <v>3</v>
      </c>
      <c r="AE17" s="33">
        <v>1</v>
      </c>
      <c r="AF17" s="33">
        <v>7</v>
      </c>
      <c r="AG17" s="33">
        <v>5</v>
      </c>
      <c r="AH17" s="33"/>
      <c r="AI17" s="33"/>
      <c r="AJ17" s="33">
        <v>1</v>
      </c>
      <c r="AK17" s="33">
        <v>2</v>
      </c>
      <c r="AL17" s="33">
        <v>3</v>
      </c>
      <c r="AM17" s="33">
        <v>3</v>
      </c>
      <c r="AN17" s="33">
        <v>2</v>
      </c>
      <c r="AO17" s="33">
        <v>4</v>
      </c>
      <c r="AP17" s="33">
        <v>2</v>
      </c>
      <c r="AQ17" s="33"/>
      <c r="AR17" s="33"/>
      <c r="AS17" s="33"/>
      <c r="AT17" s="33"/>
      <c r="AU17" s="33">
        <v>3</v>
      </c>
      <c r="AV17" s="33">
        <v>2</v>
      </c>
      <c r="AZ17" s="41">
        <f t="shared" si="3"/>
        <v>182</v>
      </c>
      <c r="BA17" s="40">
        <f>VLOOKUP(C17,'2005Nationals'!$C$8:$M$31,11,FALSE)</f>
        <v>11</v>
      </c>
      <c r="BB17" s="40">
        <f>VLOOKUP(C17,'2005NOOD'!$C$9:$K$26,9,FALSE)</f>
        <v>6</v>
      </c>
      <c r="BC17" s="40" t="e">
        <f>VLOOKUP('2005Season'!C17,'2005Crew'!$C$9:$H$16,6,FALSE)</f>
        <v>#N/A</v>
      </c>
      <c r="BD17" s="40">
        <f t="shared" si="2"/>
        <v>2</v>
      </c>
    </row>
    <row r="18" spans="2:56" ht="11.25">
      <c r="B18" s="28">
        <v>8</v>
      </c>
      <c r="C18" s="41">
        <v>176</v>
      </c>
      <c r="D18" s="40" t="s">
        <v>333</v>
      </c>
      <c r="E18" s="33">
        <f t="shared" si="0"/>
        <v>31</v>
      </c>
      <c r="F18" s="33">
        <f t="shared" si="1"/>
        <v>3</v>
      </c>
      <c r="G18" s="34">
        <f>C_S_G($H18:AV18,$H$9:AV$9,csg_table,E$9,F18)</f>
        <v>0.7888257575757576</v>
      </c>
      <c r="H18" s="33">
        <v>6</v>
      </c>
      <c r="I18" s="33">
        <v>10</v>
      </c>
      <c r="J18" s="33">
        <v>2</v>
      </c>
      <c r="K18" s="33">
        <v>7</v>
      </c>
      <c r="L18" s="33">
        <v>7</v>
      </c>
      <c r="M18" s="33">
        <v>8</v>
      </c>
      <c r="N18" s="33">
        <v>7</v>
      </c>
      <c r="O18" s="33"/>
      <c r="P18" s="33"/>
      <c r="Q18" s="33"/>
      <c r="R18" s="33"/>
      <c r="S18" s="33"/>
      <c r="T18" s="33"/>
      <c r="U18" s="33">
        <v>3</v>
      </c>
      <c r="V18" s="33">
        <v>5</v>
      </c>
      <c r="W18" s="33">
        <v>3</v>
      </c>
      <c r="X18" s="33">
        <v>3</v>
      </c>
      <c r="Y18" s="33">
        <v>7</v>
      </c>
      <c r="Z18" s="33">
        <v>9</v>
      </c>
      <c r="AA18" s="33" t="s">
        <v>233</v>
      </c>
      <c r="AB18" s="33">
        <v>5</v>
      </c>
      <c r="AC18" s="33">
        <v>10</v>
      </c>
      <c r="AD18" s="33">
        <v>9</v>
      </c>
      <c r="AE18" s="33">
        <v>5</v>
      </c>
      <c r="AF18" s="33">
        <v>10</v>
      </c>
      <c r="AG18" s="33">
        <v>4</v>
      </c>
      <c r="AH18" s="33">
        <v>1</v>
      </c>
      <c r="AI18" s="33">
        <v>2</v>
      </c>
      <c r="AJ18" s="33">
        <v>5</v>
      </c>
      <c r="AK18" s="33">
        <v>6</v>
      </c>
      <c r="AL18" s="33">
        <v>7</v>
      </c>
      <c r="AM18" s="33">
        <v>5</v>
      </c>
      <c r="AN18" s="33">
        <v>4</v>
      </c>
      <c r="AO18" s="33">
        <v>5</v>
      </c>
      <c r="AP18" s="33">
        <v>6</v>
      </c>
      <c r="AQ18" s="33"/>
      <c r="AR18" s="33"/>
      <c r="AS18" s="33"/>
      <c r="AT18" s="33"/>
      <c r="AU18" s="33"/>
      <c r="AV18" s="33"/>
      <c r="AZ18" s="41">
        <f t="shared" si="3"/>
        <v>176</v>
      </c>
      <c r="BA18" s="40" t="e">
        <f>VLOOKUP(C18,'2005Nationals'!$C$8:$M$31,11,FALSE)</f>
        <v>#N/A</v>
      </c>
      <c r="BB18" s="40">
        <f>VLOOKUP(C18,'2005NOOD'!$C$9:$K$26,9,FALSE)</f>
        <v>7</v>
      </c>
      <c r="BC18" s="40">
        <f>VLOOKUP('2005Season'!C18,'2005Crew'!$C$9:$H$16,6,FALSE)</f>
        <v>3</v>
      </c>
      <c r="BD18" s="40">
        <f t="shared" si="2"/>
        <v>2</v>
      </c>
    </row>
    <row r="19" spans="2:56" ht="11.25">
      <c r="B19" s="28">
        <v>9</v>
      </c>
      <c r="C19" s="41">
        <v>142</v>
      </c>
      <c r="D19" s="40" t="s">
        <v>214</v>
      </c>
      <c r="E19" s="33">
        <f t="shared" si="0"/>
        <v>37</v>
      </c>
      <c r="F19" s="33">
        <f t="shared" si="1"/>
        <v>3</v>
      </c>
      <c r="G19" s="34">
        <f>C_S_G($H19:AV19,$H$9:AV$9,csg_table,E$9,F19)</f>
        <v>0.7566628041714948</v>
      </c>
      <c r="H19" s="33">
        <v>7</v>
      </c>
      <c r="I19" s="33">
        <v>7</v>
      </c>
      <c r="J19" s="33">
        <v>10</v>
      </c>
      <c r="K19" s="33">
        <v>8</v>
      </c>
      <c r="L19" s="33">
        <v>8</v>
      </c>
      <c r="M19" s="33"/>
      <c r="N19" s="33">
        <v>5</v>
      </c>
      <c r="O19" s="33">
        <v>16</v>
      </c>
      <c r="P19" s="33">
        <v>14</v>
      </c>
      <c r="Q19" s="33">
        <v>13</v>
      </c>
      <c r="R19" s="33">
        <v>17</v>
      </c>
      <c r="S19" s="33">
        <v>12</v>
      </c>
      <c r="T19" s="33">
        <v>13</v>
      </c>
      <c r="U19" s="33">
        <v>7</v>
      </c>
      <c r="V19" s="33">
        <v>3</v>
      </c>
      <c r="W19" s="33"/>
      <c r="X19" s="33"/>
      <c r="Y19" s="33">
        <v>11</v>
      </c>
      <c r="Z19" s="33">
        <v>8</v>
      </c>
      <c r="AA19" s="33" t="s">
        <v>233</v>
      </c>
      <c r="AB19" s="33">
        <v>11</v>
      </c>
      <c r="AC19" s="33">
        <v>1</v>
      </c>
      <c r="AD19" s="33">
        <v>17</v>
      </c>
      <c r="AE19" s="33">
        <v>12</v>
      </c>
      <c r="AF19" s="33">
        <v>13</v>
      </c>
      <c r="AG19" s="33">
        <v>10</v>
      </c>
      <c r="AH19" s="33">
        <v>7</v>
      </c>
      <c r="AI19" s="33">
        <v>4</v>
      </c>
      <c r="AJ19" s="33">
        <v>2</v>
      </c>
      <c r="AK19" s="33">
        <v>4</v>
      </c>
      <c r="AL19" s="33">
        <v>1</v>
      </c>
      <c r="AM19" s="33">
        <v>4</v>
      </c>
      <c r="AN19" s="33">
        <v>5</v>
      </c>
      <c r="AO19" s="33">
        <v>1</v>
      </c>
      <c r="AP19" s="33">
        <v>3</v>
      </c>
      <c r="AQ19" s="33">
        <v>1</v>
      </c>
      <c r="AR19" s="33"/>
      <c r="AS19" s="33">
        <v>4</v>
      </c>
      <c r="AT19" s="33"/>
      <c r="AU19" s="33"/>
      <c r="AV19" s="33"/>
      <c r="AZ19" s="41">
        <f t="shared" si="3"/>
        <v>142</v>
      </c>
      <c r="BA19" s="40">
        <f>VLOOKUP(C19,'2005Nationals'!$C$8:$M$31,11,FALSE)</f>
        <v>20</v>
      </c>
      <c r="BB19" s="40">
        <f>VLOOKUP(C19,'2005NOOD'!$C$9:$K$26,9,FALSE)</f>
        <v>9</v>
      </c>
      <c r="BC19" s="40">
        <f>VLOOKUP('2005Season'!C19,'2005Crew'!$C$9:$H$16,6,FALSE)</f>
        <v>0</v>
      </c>
      <c r="BD19" s="40">
        <f t="shared" si="2"/>
        <v>3</v>
      </c>
    </row>
    <row r="20" spans="2:56" ht="11.25">
      <c r="B20" s="28">
        <v>10</v>
      </c>
      <c r="C20" s="41">
        <v>70</v>
      </c>
      <c r="D20" s="40" t="s">
        <v>213</v>
      </c>
      <c r="E20" s="33">
        <f t="shared" si="0"/>
        <v>32</v>
      </c>
      <c r="F20" s="33">
        <f t="shared" si="1"/>
        <v>3</v>
      </c>
      <c r="G20" s="34">
        <f>C_S_G($H20:AV20,$H$9:AV$9,csg_table,E$9,F20)</f>
        <v>0.7545612510860121</v>
      </c>
      <c r="H20" s="33">
        <v>11</v>
      </c>
      <c r="I20" s="33">
        <v>4</v>
      </c>
      <c r="J20" s="33">
        <v>8</v>
      </c>
      <c r="K20" s="33">
        <v>10</v>
      </c>
      <c r="L20" s="33">
        <v>6</v>
      </c>
      <c r="M20" s="33">
        <v>2</v>
      </c>
      <c r="N20" s="33">
        <v>6</v>
      </c>
      <c r="O20" s="33">
        <v>9</v>
      </c>
      <c r="P20" s="33">
        <v>8</v>
      </c>
      <c r="Q20" s="33">
        <v>15</v>
      </c>
      <c r="R20" s="33">
        <v>9</v>
      </c>
      <c r="S20" s="33">
        <v>16</v>
      </c>
      <c r="T20" s="33">
        <v>15</v>
      </c>
      <c r="U20" s="33">
        <v>2</v>
      </c>
      <c r="V20" s="33">
        <v>6</v>
      </c>
      <c r="W20" s="33">
        <v>4</v>
      </c>
      <c r="X20" s="33">
        <v>4</v>
      </c>
      <c r="Y20" s="33">
        <v>12</v>
      </c>
      <c r="Z20" s="33">
        <v>13</v>
      </c>
      <c r="AA20" s="33">
        <v>11</v>
      </c>
      <c r="AB20" s="33">
        <v>7</v>
      </c>
      <c r="AC20" s="33">
        <v>9</v>
      </c>
      <c r="AD20" s="33">
        <v>5</v>
      </c>
      <c r="AE20" s="33">
        <v>7</v>
      </c>
      <c r="AF20" s="33">
        <v>11</v>
      </c>
      <c r="AG20" s="33">
        <v>9</v>
      </c>
      <c r="AH20" s="33">
        <v>4</v>
      </c>
      <c r="AI20" s="33">
        <v>6</v>
      </c>
      <c r="AJ20" s="33"/>
      <c r="AK20" s="33"/>
      <c r="AL20" s="33"/>
      <c r="AM20" s="33"/>
      <c r="AN20" s="33"/>
      <c r="AO20" s="33"/>
      <c r="AP20" s="33"/>
      <c r="AQ20" s="33">
        <v>3</v>
      </c>
      <c r="AR20" s="33">
        <v>3</v>
      </c>
      <c r="AS20" s="33"/>
      <c r="AT20" s="33"/>
      <c r="AU20" s="33"/>
      <c r="AV20" s="33"/>
      <c r="AZ20" s="41">
        <f t="shared" si="3"/>
        <v>70</v>
      </c>
      <c r="BA20" s="40">
        <f>VLOOKUP(C20,'2005Nationals'!$C$8:$M$31,11,FALSE)</f>
        <v>23</v>
      </c>
      <c r="BB20" s="40">
        <f>VLOOKUP(C20,'2005NOOD'!$C$9:$K$26,9,FALSE)</f>
        <v>15</v>
      </c>
      <c r="BC20" s="40" t="e">
        <f>VLOOKUP('2005Season'!C20,'2005Crew'!$C$9:$H$16,6,FALSE)</f>
        <v>#N/A</v>
      </c>
      <c r="BD20" s="40">
        <f t="shared" si="2"/>
        <v>2</v>
      </c>
    </row>
    <row r="21" spans="2:56" ht="11.25">
      <c r="B21" s="28">
        <v>11</v>
      </c>
      <c r="C21" s="41">
        <v>183</v>
      </c>
      <c r="D21" s="40" t="s">
        <v>223</v>
      </c>
      <c r="E21" s="33">
        <f t="shared" si="0"/>
        <v>27</v>
      </c>
      <c r="F21" s="33">
        <f t="shared" si="1"/>
        <v>2</v>
      </c>
      <c r="G21" s="34">
        <f>C_S_G($H21:AV21,$H$9:AV$9,csg_table,E$9,F21)</f>
        <v>0.7448724362181091</v>
      </c>
      <c r="H21" s="33">
        <v>8</v>
      </c>
      <c r="I21" s="33">
        <v>9</v>
      </c>
      <c r="J21" s="33">
        <v>1</v>
      </c>
      <c r="K21" s="33">
        <v>5</v>
      </c>
      <c r="L21" s="33">
        <v>9</v>
      </c>
      <c r="M21" s="33"/>
      <c r="N21" s="33">
        <v>1</v>
      </c>
      <c r="O21" s="33">
        <v>11</v>
      </c>
      <c r="P21" s="33">
        <v>4</v>
      </c>
      <c r="Q21" s="33">
        <v>12</v>
      </c>
      <c r="R21" s="33" t="s">
        <v>7</v>
      </c>
      <c r="S21" s="33">
        <v>15</v>
      </c>
      <c r="T21" s="33">
        <v>12</v>
      </c>
      <c r="U21" s="33"/>
      <c r="V21" s="33"/>
      <c r="W21" s="33"/>
      <c r="X21" s="33"/>
      <c r="Y21" s="33">
        <v>10</v>
      </c>
      <c r="Z21" s="33">
        <v>11</v>
      </c>
      <c r="AA21" s="33">
        <v>12</v>
      </c>
      <c r="AB21" s="33">
        <v>6</v>
      </c>
      <c r="AC21" s="33">
        <v>7</v>
      </c>
      <c r="AD21" s="33">
        <v>13</v>
      </c>
      <c r="AE21" s="33">
        <v>13</v>
      </c>
      <c r="AF21" s="33">
        <v>8</v>
      </c>
      <c r="AG21" s="33"/>
      <c r="AH21" s="33"/>
      <c r="AI21" s="33"/>
      <c r="AJ21" s="33">
        <v>4</v>
      </c>
      <c r="AK21" s="33">
        <v>7</v>
      </c>
      <c r="AL21" s="33">
        <v>5</v>
      </c>
      <c r="AM21" s="33">
        <v>7</v>
      </c>
      <c r="AN21" s="33">
        <v>6</v>
      </c>
      <c r="AO21" s="33">
        <v>8</v>
      </c>
      <c r="AP21" s="33"/>
      <c r="AQ21" s="33"/>
      <c r="AR21" s="33"/>
      <c r="AS21" s="33"/>
      <c r="AT21" s="33"/>
      <c r="AU21" s="33"/>
      <c r="AV21" s="33"/>
      <c r="AZ21" s="41">
        <f t="shared" si="3"/>
        <v>183</v>
      </c>
      <c r="BA21" s="40">
        <f>VLOOKUP(C21,'2005Nationals'!$C$8:$M$31,11,FALSE)</f>
        <v>18</v>
      </c>
      <c r="BB21" s="40" t="e">
        <f>VLOOKUP(C21,'2005NOOD'!$C$9:$K$26,9,FALSE)</f>
        <v>#N/A</v>
      </c>
      <c r="BC21" s="40" t="e">
        <f>VLOOKUP('2005Season'!C21,'2005Crew'!$C$9:$H$16,6,FALSE)</f>
        <v>#N/A</v>
      </c>
      <c r="BD21" s="40">
        <f t="shared" si="2"/>
        <v>1</v>
      </c>
    </row>
    <row r="22" spans="2:56" ht="11.25">
      <c r="B22" s="28">
        <v>12</v>
      </c>
      <c r="C22" s="41">
        <v>41</v>
      </c>
      <c r="D22" s="40" t="s">
        <v>222</v>
      </c>
      <c r="E22" s="33">
        <f t="shared" si="0"/>
        <v>23</v>
      </c>
      <c r="F22" s="33">
        <f t="shared" si="1"/>
        <v>2</v>
      </c>
      <c r="G22" s="34">
        <f>C_S_G($H22:AV22,$H$9:AV$9,csg_table,E$9,F22)</f>
        <v>0.7129217059197963</v>
      </c>
      <c r="H22" s="33"/>
      <c r="I22" s="33"/>
      <c r="J22" s="33"/>
      <c r="K22" s="33"/>
      <c r="L22" s="33"/>
      <c r="M22" s="33"/>
      <c r="N22" s="33">
        <v>9</v>
      </c>
      <c r="O22" s="33">
        <v>15</v>
      </c>
      <c r="P22" s="33" t="s">
        <v>103</v>
      </c>
      <c r="Q22" s="33"/>
      <c r="R22" s="33"/>
      <c r="S22" s="33"/>
      <c r="T22" s="33"/>
      <c r="U22" s="33">
        <v>8</v>
      </c>
      <c r="V22" s="33">
        <v>8</v>
      </c>
      <c r="W22" s="33">
        <v>8</v>
      </c>
      <c r="X22" s="33"/>
      <c r="Y22" s="33">
        <v>13</v>
      </c>
      <c r="Z22" s="33">
        <v>10</v>
      </c>
      <c r="AA22" s="33">
        <v>9</v>
      </c>
      <c r="AB22" s="33">
        <v>9</v>
      </c>
      <c r="AC22" s="33">
        <v>8</v>
      </c>
      <c r="AD22" s="33">
        <v>14</v>
      </c>
      <c r="AE22" s="33">
        <v>14</v>
      </c>
      <c r="AF22" s="33">
        <v>14</v>
      </c>
      <c r="AG22" s="33">
        <v>3</v>
      </c>
      <c r="AH22" s="33">
        <v>6</v>
      </c>
      <c r="AI22" s="33">
        <v>8</v>
      </c>
      <c r="AJ22" s="33"/>
      <c r="AK22" s="33"/>
      <c r="AL22" s="33"/>
      <c r="AM22" s="33"/>
      <c r="AN22" s="33"/>
      <c r="AO22" s="33"/>
      <c r="AP22" s="33"/>
      <c r="AQ22" s="33"/>
      <c r="AR22" s="33"/>
      <c r="AS22" s="33">
        <v>5</v>
      </c>
      <c r="AT22" s="33">
        <v>4</v>
      </c>
      <c r="AU22" s="33">
        <v>4</v>
      </c>
      <c r="AV22" s="33">
        <v>3</v>
      </c>
      <c r="AZ22" s="41">
        <f t="shared" si="3"/>
        <v>41</v>
      </c>
      <c r="BA22" s="40" t="e">
        <f>VLOOKUP(C22,'2005Nationals'!$C$8:$M$31,11,FALSE)</f>
        <v>#N/A</v>
      </c>
      <c r="BB22" s="40">
        <f>VLOOKUP(C22,'2005NOOD'!$C$9:$K$26,9,FALSE)</f>
        <v>18</v>
      </c>
      <c r="BC22" s="40">
        <f>VLOOKUP('2005Season'!C22,'2005Crew'!$C$9:$H$16,6,FALSE)</f>
        <v>1</v>
      </c>
      <c r="BD22" s="40">
        <f t="shared" si="2"/>
        <v>2</v>
      </c>
    </row>
    <row r="23" spans="2:56" ht="11.25">
      <c r="B23" s="28">
        <v>13</v>
      </c>
      <c r="C23" s="41">
        <v>197</v>
      </c>
      <c r="D23" s="40" t="s">
        <v>215</v>
      </c>
      <c r="E23" s="33">
        <f t="shared" si="0"/>
        <v>27</v>
      </c>
      <c r="F23" s="33">
        <f t="shared" si="1"/>
        <v>2</v>
      </c>
      <c r="G23" s="34">
        <f>C_S_G($H23:AV23,$H$9:AV$9,csg_table,E$9,F23)</f>
        <v>0.7021897810218978</v>
      </c>
      <c r="H23" s="33">
        <v>9</v>
      </c>
      <c r="I23" s="33">
        <v>8</v>
      </c>
      <c r="J23" s="33">
        <v>9</v>
      </c>
      <c r="K23" s="33">
        <v>11</v>
      </c>
      <c r="L23" s="33">
        <v>10</v>
      </c>
      <c r="M23" s="33">
        <v>7</v>
      </c>
      <c r="N23" s="33"/>
      <c r="O23" s="33">
        <v>8</v>
      </c>
      <c r="P23" s="33">
        <v>15</v>
      </c>
      <c r="Q23" s="33">
        <v>10</v>
      </c>
      <c r="R23" s="33">
        <v>16</v>
      </c>
      <c r="S23" s="33">
        <v>13</v>
      </c>
      <c r="T23" s="33">
        <v>18</v>
      </c>
      <c r="U23" s="33"/>
      <c r="V23" s="33"/>
      <c r="W23" s="33">
        <v>5</v>
      </c>
      <c r="X23" s="33">
        <v>5</v>
      </c>
      <c r="Y23" s="33">
        <v>8</v>
      </c>
      <c r="Z23" s="33">
        <v>12</v>
      </c>
      <c r="AA23" s="33">
        <v>10</v>
      </c>
      <c r="AB23" s="33">
        <v>15</v>
      </c>
      <c r="AC23" s="33"/>
      <c r="AD23" s="33">
        <v>12</v>
      </c>
      <c r="AE23" s="33">
        <v>9</v>
      </c>
      <c r="AF23" s="33">
        <v>9</v>
      </c>
      <c r="AG23" s="33">
        <v>7</v>
      </c>
      <c r="AH23" s="33"/>
      <c r="AI23" s="33"/>
      <c r="AJ23" s="33"/>
      <c r="AK23" s="33"/>
      <c r="AL23" s="33"/>
      <c r="AM23" s="33"/>
      <c r="AN23" s="33"/>
      <c r="AO23" s="33"/>
      <c r="AP23" s="33"/>
      <c r="AQ23" s="33"/>
      <c r="AR23" s="33"/>
      <c r="AS23" s="33">
        <v>6</v>
      </c>
      <c r="AT23" s="33">
        <v>5</v>
      </c>
      <c r="AU23" s="33">
        <v>6</v>
      </c>
      <c r="AV23" s="33">
        <v>5</v>
      </c>
      <c r="AZ23" s="41">
        <f t="shared" si="3"/>
        <v>197</v>
      </c>
      <c r="BA23" s="40" t="e">
        <f>VLOOKUP(C23,'2005Nationals'!$C$8:$M$31,11,FALSE)</f>
        <v>#N/A</v>
      </c>
      <c r="BB23" s="40">
        <f>VLOOKUP(C23,'2005NOOD'!$C$9:$K$26,9,FALSE)</f>
        <v>11</v>
      </c>
      <c r="BC23" s="40" t="e">
        <f>VLOOKUP('2005Season'!C23,'2005Crew'!$C$9:$H$16,6,FALSE)</f>
        <v>#N/A</v>
      </c>
      <c r="BD23" s="40">
        <f t="shared" si="2"/>
        <v>1</v>
      </c>
    </row>
    <row r="24" spans="2:56" ht="11.25">
      <c r="B24" s="28">
        <v>14</v>
      </c>
      <c r="C24" s="41">
        <v>117</v>
      </c>
      <c r="D24" s="40" t="s">
        <v>209</v>
      </c>
      <c r="E24" s="33">
        <f t="shared" si="0"/>
        <v>35</v>
      </c>
      <c r="F24" s="33">
        <f t="shared" si="1"/>
        <v>3</v>
      </c>
      <c r="G24" s="34">
        <f>C_S_G($H24:AV24,$H$9:AV$9,csg_table,E$9,F24)</f>
        <v>0.6810273405136703</v>
      </c>
      <c r="H24" s="33">
        <v>12</v>
      </c>
      <c r="I24" s="33">
        <v>12</v>
      </c>
      <c r="J24" s="33">
        <v>11</v>
      </c>
      <c r="K24" s="33">
        <v>9</v>
      </c>
      <c r="L24" s="33"/>
      <c r="M24" s="33">
        <v>5</v>
      </c>
      <c r="N24" s="33">
        <v>10</v>
      </c>
      <c r="O24" s="33">
        <v>18</v>
      </c>
      <c r="P24" s="33">
        <v>17</v>
      </c>
      <c r="Q24" s="33">
        <v>17</v>
      </c>
      <c r="R24" s="33">
        <v>18</v>
      </c>
      <c r="S24" s="33">
        <v>18</v>
      </c>
      <c r="T24" s="33">
        <v>16</v>
      </c>
      <c r="U24" s="33">
        <v>10</v>
      </c>
      <c r="V24" s="33">
        <v>7</v>
      </c>
      <c r="W24" s="33">
        <v>9</v>
      </c>
      <c r="X24" s="33">
        <v>7</v>
      </c>
      <c r="Y24" s="33"/>
      <c r="Z24" s="33"/>
      <c r="AA24" s="33"/>
      <c r="AB24" s="33">
        <v>13</v>
      </c>
      <c r="AC24" s="33">
        <v>14</v>
      </c>
      <c r="AD24" s="33">
        <v>15</v>
      </c>
      <c r="AE24" s="33">
        <v>15</v>
      </c>
      <c r="AF24" s="33">
        <v>12</v>
      </c>
      <c r="AG24" s="33" t="s">
        <v>103</v>
      </c>
      <c r="AH24" s="33">
        <v>2</v>
      </c>
      <c r="AI24" s="33">
        <v>5</v>
      </c>
      <c r="AJ24" s="33">
        <v>7</v>
      </c>
      <c r="AK24" s="33">
        <v>5</v>
      </c>
      <c r="AL24" s="33">
        <v>4</v>
      </c>
      <c r="AM24" s="33">
        <v>6</v>
      </c>
      <c r="AN24" s="33">
        <v>7</v>
      </c>
      <c r="AO24" s="33">
        <v>6</v>
      </c>
      <c r="AP24" s="33">
        <v>5</v>
      </c>
      <c r="AQ24" s="33">
        <v>5</v>
      </c>
      <c r="AR24" s="33">
        <v>4</v>
      </c>
      <c r="AS24" s="33"/>
      <c r="AT24" s="33"/>
      <c r="AU24" s="33"/>
      <c r="AV24" s="33"/>
      <c r="AZ24" s="41">
        <f t="shared" si="3"/>
        <v>117</v>
      </c>
      <c r="BA24" s="40">
        <f>VLOOKUP(C24,'2005Nationals'!$C$8:$M$31,11,FALSE)</f>
        <v>19</v>
      </c>
      <c r="BB24" s="40">
        <f>VLOOKUP(C24,'2005NOOD'!$C$9:$K$26,9,FALSE)</f>
        <v>12</v>
      </c>
      <c r="BC24" s="40" t="e">
        <f>VLOOKUP('2005Season'!C24,'2005Crew'!$C$9:$H$16,6,FALSE)</f>
        <v>#N/A</v>
      </c>
      <c r="BD24" s="40">
        <f t="shared" si="2"/>
        <v>2</v>
      </c>
    </row>
    <row r="25" spans="2:56" ht="11.25">
      <c r="B25" s="28">
        <v>15</v>
      </c>
      <c r="C25" s="51">
        <v>38</v>
      </c>
      <c r="D25" s="61" t="s">
        <v>208</v>
      </c>
      <c r="E25" s="35">
        <f t="shared" si="0"/>
        <v>29</v>
      </c>
      <c r="F25" s="35">
        <f t="shared" si="1"/>
        <v>2</v>
      </c>
      <c r="G25" s="36">
        <f>C_S_G($H25:AV25,$H$9:AV$9,csg_table,E$9,F25)</f>
        <v>0.6538461538461539</v>
      </c>
      <c r="H25" s="35"/>
      <c r="I25" s="35"/>
      <c r="J25" s="35"/>
      <c r="K25" s="35"/>
      <c r="L25" s="35">
        <v>11</v>
      </c>
      <c r="M25" s="35">
        <v>10</v>
      </c>
      <c r="N25" s="35">
        <v>12</v>
      </c>
      <c r="O25" s="35">
        <v>14</v>
      </c>
      <c r="P25" s="35">
        <v>12</v>
      </c>
      <c r="Q25" s="35">
        <v>16</v>
      </c>
      <c r="R25" s="35">
        <v>19</v>
      </c>
      <c r="S25" s="35" t="s">
        <v>165</v>
      </c>
      <c r="T25" s="35">
        <v>17</v>
      </c>
      <c r="U25" s="35">
        <v>9</v>
      </c>
      <c r="V25" s="35" t="s">
        <v>103</v>
      </c>
      <c r="W25" s="35">
        <v>7</v>
      </c>
      <c r="X25" s="35"/>
      <c r="Y25" s="35">
        <v>15</v>
      </c>
      <c r="Z25" s="35">
        <v>14</v>
      </c>
      <c r="AA25" s="35">
        <v>13</v>
      </c>
      <c r="AB25" s="35"/>
      <c r="AC25" s="35"/>
      <c r="AD25" s="35">
        <v>16</v>
      </c>
      <c r="AE25" s="35">
        <v>16</v>
      </c>
      <c r="AF25" s="35"/>
      <c r="AG25" s="35">
        <v>12</v>
      </c>
      <c r="AH25" s="35">
        <v>8</v>
      </c>
      <c r="AI25" s="35">
        <v>7</v>
      </c>
      <c r="AJ25" s="35"/>
      <c r="AK25" s="35"/>
      <c r="AL25" s="35"/>
      <c r="AM25" s="35"/>
      <c r="AN25" s="35">
        <v>8</v>
      </c>
      <c r="AO25" s="35">
        <v>7</v>
      </c>
      <c r="AP25" s="35">
        <v>7</v>
      </c>
      <c r="AQ25" s="35" t="s">
        <v>103</v>
      </c>
      <c r="AR25" s="35"/>
      <c r="AS25" s="35">
        <v>7</v>
      </c>
      <c r="AT25" s="35">
        <v>6</v>
      </c>
      <c r="AU25" s="35">
        <v>5</v>
      </c>
      <c r="AV25" s="35" t="s">
        <v>103</v>
      </c>
      <c r="AZ25" s="41">
        <f t="shared" si="3"/>
        <v>38</v>
      </c>
      <c r="BA25" s="40" t="e">
        <f>VLOOKUP(C25,'2005Nationals'!$C$8:$M$31,11,FALSE)</f>
        <v>#N/A</v>
      </c>
      <c r="BB25" s="40" t="e">
        <f>VLOOKUP(C25,'2005NOOD'!$C$9:$K$26,9,FALSE)</f>
        <v>#N/A</v>
      </c>
      <c r="BC25" s="40">
        <f>VLOOKUP('2005Season'!C25,'2005Crew'!$C$9:$H$16,6,FALSE)</f>
        <v>5</v>
      </c>
      <c r="BD25" s="40">
        <f t="shared" si="2"/>
        <v>1</v>
      </c>
    </row>
    <row r="26" spans="3:56" ht="11.25">
      <c r="C26" s="41">
        <v>26</v>
      </c>
      <c r="D26" s="40" t="s">
        <v>217</v>
      </c>
      <c r="E26" s="33">
        <f t="shared" si="0"/>
        <v>9</v>
      </c>
      <c r="F26" s="33">
        <f t="shared" si="1"/>
        <v>0</v>
      </c>
      <c r="G26" s="34">
        <f>C_S_G($H26:AV26,$H$9:AV$9,csg_table,E$9,F26)</f>
        <v>0.7912912912912913</v>
      </c>
      <c r="H26" s="33"/>
      <c r="I26" s="33"/>
      <c r="J26" s="33"/>
      <c r="K26" s="33"/>
      <c r="L26" s="33"/>
      <c r="M26" s="33"/>
      <c r="N26" s="33"/>
      <c r="O26" s="33"/>
      <c r="P26" s="33"/>
      <c r="Q26" s="33"/>
      <c r="R26" s="33"/>
      <c r="S26" s="33"/>
      <c r="T26" s="33"/>
      <c r="U26" s="33"/>
      <c r="V26" s="33"/>
      <c r="W26" s="33"/>
      <c r="X26" s="33"/>
      <c r="Y26" s="33">
        <v>14</v>
      </c>
      <c r="Z26" s="33">
        <v>4</v>
      </c>
      <c r="AA26" s="33">
        <v>1</v>
      </c>
      <c r="AB26" s="33">
        <v>8</v>
      </c>
      <c r="AC26" s="33">
        <v>13</v>
      </c>
      <c r="AD26" s="33">
        <v>7</v>
      </c>
      <c r="AE26" s="33"/>
      <c r="AF26" s="33">
        <v>3</v>
      </c>
      <c r="AG26" s="33"/>
      <c r="AH26" s="33"/>
      <c r="AI26" s="33"/>
      <c r="AJ26" s="33"/>
      <c r="AK26" s="33"/>
      <c r="AL26" s="33"/>
      <c r="AM26" s="33"/>
      <c r="AN26" s="33"/>
      <c r="AO26" s="33"/>
      <c r="AP26" s="33"/>
      <c r="AQ26" s="33"/>
      <c r="AR26" s="33"/>
      <c r="AS26" s="33"/>
      <c r="AT26" s="33"/>
      <c r="AU26" s="33"/>
      <c r="AV26" s="33"/>
      <c r="AZ26" s="41">
        <f t="shared" si="3"/>
        <v>26</v>
      </c>
      <c r="BA26" s="40">
        <f>VLOOKUP(C26,'2005Nationals'!$C$8:$M$31,11,FALSE)</f>
        <v>22</v>
      </c>
      <c r="BB26" s="40">
        <f>VLOOKUP(C26,'2005NOOD'!$C$9:$K$26,9,FALSE)</f>
        <v>16</v>
      </c>
      <c r="BC26" s="40" t="e">
        <f>VLOOKUP('2005Season'!C26,'2005Crew'!$C$9:$H$16,6,FALSE)</f>
        <v>#N/A</v>
      </c>
      <c r="BD26" s="40">
        <f t="shared" si="2"/>
        <v>2</v>
      </c>
    </row>
    <row r="27" spans="3:56" ht="11.25">
      <c r="C27" s="41">
        <v>54</v>
      </c>
      <c r="D27" s="40" t="s">
        <v>219</v>
      </c>
      <c r="E27" s="33">
        <f t="shared" si="0"/>
        <v>6</v>
      </c>
      <c r="F27" s="33">
        <f t="shared" si="1"/>
        <v>0</v>
      </c>
      <c r="G27" s="34">
        <f>C_S_G($H27:AV27,$H$9:AV$9,csg_table,E$9,F27)</f>
        <v>0.7109004739336493</v>
      </c>
      <c r="H27" s="33"/>
      <c r="I27" s="33"/>
      <c r="J27" s="33"/>
      <c r="K27" s="33"/>
      <c r="L27" s="33"/>
      <c r="M27" s="33"/>
      <c r="N27" s="33"/>
      <c r="O27" s="33"/>
      <c r="P27" s="33"/>
      <c r="Q27" s="33"/>
      <c r="R27" s="33">
        <v>12</v>
      </c>
      <c r="S27" s="33">
        <v>14</v>
      </c>
      <c r="T27" s="33">
        <v>14</v>
      </c>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v>3</v>
      </c>
      <c r="AT27" s="33">
        <v>3</v>
      </c>
      <c r="AU27" s="33"/>
      <c r="AV27" s="33"/>
      <c r="AZ27" s="41">
        <f t="shared" si="3"/>
        <v>54</v>
      </c>
      <c r="BA27" s="40" t="e">
        <f>VLOOKUP(C27,'2005Nationals'!$C$8:$M$31,11,FALSE)</f>
        <v>#N/A</v>
      </c>
      <c r="BB27" s="40" t="e">
        <f>VLOOKUP(C27,'2005NOOD'!$C$9:$K$26,9,FALSE)</f>
        <v>#N/A</v>
      </c>
      <c r="BC27" s="40">
        <f>VLOOKUP('2005Season'!C27,'2005Crew'!$C$9:$H$16,6,FALSE)</f>
        <v>2</v>
      </c>
      <c r="BD27" s="40">
        <f t="shared" si="2"/>
        <v>1</v>
      </c>
    </row>
    <row r="28" spans="3:56" ht="11.25">
      <c r="C28" s="41">
        <v>5</v>
      </c>
      <c r="D28" s="40" t="s">
        <v>212</v>
      </c>
      <c r="E28" s="33">
        <f t="shared" si="0"/>
        <v>14</v>
      </c>
      <c r="F28" s="33">
        <f t="shared" si="1"/>
        <v>1</v>
      </c>
      <c r="G28" s="34">
        <f>C_S_G($H28:AV28,$H$9:AV$9,csg_table,E$9,F28)</f>
        <v>0.6578690127077224</v>
      </c>
      <c r="H28" s="33">
        <v>10</v>
      </c>
      <c r="I28" s="33">
        <v>11</v>
      </c>
      <c r="J28" s="33"/>
      <c r="K28" s="33"/>
      <c r="L28" s="33">
        <v>12</v>
      </c>
      <c r="M28" s="33">
        <v>11</v>
      </c>
      <c r="N28" s="33">
        <v>11</v>
      </c>
      <c r="O28" s="33">
        <v>17</v>
      </c>
      <c r="P28" s="33">
        <v>18</v>
      </c>
      <c r="Q28" s="33"/>
      <c r="R28" s="33">
        <v>13</v>
      </c>
      <c r="S28" s="33">
        <v>17</v>
      </c>
      <c r="T28" s="33"/>
      <c r="U28" s="33"/>
      <c r="V28" s="33"/>
      <c r="W28" s="33">
        <v>6</v>
      </c>
      <c r="X28" s="33">
        <v>6</v>
      </c>
      <c r="Y28" s="33"/>
      <c r="Z28" s="33"/>
      <c r="AA28" s="33"/>
      <c r="AB28" s="33"/>
      <c r="AC28" s="33"/>
      <c r="AD28" s="33"/>
      <c r="AE28" s="33"/>
      <c r="AF28" s="33"/>
      <c r="AG28" s="33"/>
      <c r="AH28" s="33"/>
      <c r="AI28" s="33"/>
      <c r="AJ28" s="33">
        <v>8</v>
      </c>
      <c r="AK28" s="33" t="s">
        <v>103</v>
      </c>
      <c r="AL28" s="33"/>
      <c r="AM28" s="33"/>
      <c r="AN28" s="33"/>
      <c r="AO28" s="33"/>
      <c r="AP28" s="33"/>
      <c r="AQ28" s="33"/>
      <c r="AR28" s="33"/>
      <c r="AS28" s="33"/>
      <c r="AT28" s="33"/>
      <c r="AU28" s="33"/>
      <c r="AV28" s="33"/>
      <c r="AZ28" s="41">
        <f t="shared" si="3"/>
        <v>5</v>
      </c>
      <c r="BA28" s="40">
        <f>VLOOKUP(C28,'2005Nationals'!$C$8:$M$31,11,FALSE)</f>
        <v>24</v>
      </c>
      <c r="BB28" s="40" t="e">
        <f>VLOOKUP(C28,'2005NOOD'!$C$9:$K$26,9,FALSE)</f>
        <v>#N/A</v>
      </c>
      <c r="BC28" s="40" t="e">
        <f>VLOOKUP('2005Season'!C28,'2005Crew'!$C$9:$H$16,6,FALSE)</f>
        <v>#N/A</v>
      </c>
      <c r="BD28" s="40">
        <f t="shared" si="2"/>
        <v>1</v>
      </c>
    </row>
    <row r="29" spans="3:56" ht="11.25">
      <c r="C29" s="51">
        <v>16</v>
      </c>
      <c r="D29" s="61" t="s">
        <v>221</v>
      </c>
      <c r="E29" s="35">
        <f t="shared" si="0"/>
        <v>6</v>
      </c>
      <c r="F29" s="35">
        <f t="shared" si="1"/>
        <v>0</v>
      </c>
      <c r="G29" s="36">
        <f>C_S_G($H29:AV29,$H$9:AV$9,csg_table,E$9,F29)</f>
        <v>0.620983491365684</v>
      </c>
      <c r="H29" s="35"/>
      <c r="I29" s="35"/>
      <c r="J29" s="35"/>
      <c r="K29" s="35"/>
      <c r="L29" s="35">
        <v>13</v>
      </c>
      <c r="M29" s="35">
        <v>9</v>
      </c>
      <c r="N29" s="35"/>
      <c r="O29" s="35" t="s">
        <v>103</v>
      </c>
      <c r="P29" s="35"/>
      <c r="Q29" s="35"/>
      <c r="R29" s="35"/>
      <c r="S29" s="35"/>
      <c r="T29" s="35"/>
      <c r="U29" s="35"/>
      <c r="V29" s="35"/>
      <c r="W29" s="35"/>
      <c r="X29" s="35"/>
      <c r="Y29" s="35"/>
      <c r="Z29" s="35"/>
      <c r="AA29" s="35"/>
      <c r="AB29" s="35">
        <v>17</v>
      </c>
      <c r="AC29" s="35">
        <v>15</v>
      </c>
      <c r="AD29" s="35"/>
      <c r="AE29" s="35"/>
      <c r="AF29" s="35" t="s">
        <v>103</v>
      </c>
      <c r="AG29" s="35"/>
      <c r="AH29" s="35"/>
      <c r="AI29" s="35"/>
      <c r="AJ29" s="35"/>
      <c r="AK29" s="35"/>
      <c r="AL29" s="35"/>
      <c r="AM29" s="35"/>
      <c r="AN29" s="35"/>
      <c r="AO29" s="35"/>
      <c r="AP29" s="35"/>
      <c r="AQ29" s="35"/>
      <c r="AR29" s="35"/>
      <c r="AS29" s="35"/>
      <c r="AT29" s="35"/>
      <c r="AU29" s="35"/>
      <c r="AV29" s="35"/>
      <c r="AZ29" s="41">
        <f t="shared" si="3"/>
        <v>16</v>
      </c>
      <c r="BA29" s="40" t="e">
        <f>VLOOKUP(C29,'2005Nationals'!$C$8:$M$31,11,FALSE)</f>
        <v>#N/A</v>
      </c>
      <c r="BB29" s="40" t="e">
        <f>VLOOKUP(C29,'2005NOOD'!$C$9:$K$26,9,FALSE)</f>
        <v>#N/A</v>
      </c>
      <c r="BC29" s="40" t="e">
        <f>VLOOKUP('2005Season'!C29,'2005Crew'!$C$9:$H$16,6,FALSE)</f>
        <v>#N/A</v>
      </c>
      <c r="BD29" s="40">
        <f t="shared" si="2"/>
        <v>0</v>
      </c>
    </row>
    <row r="30" spans="3:56" ht="11.25">
      <c r="C30" s="41">
        <v>239</v>
      </c>
      <c r="D30" s="40" t="s">
        <v>464</v>
      </c>
      <c r="E30" s="33">
        <f t="shared" si="0"/>
        <v>4</v>
      </c>
      <c r="F30" s="33">
        <f t="shared" si="1"/>
        <v>0</v>
      </c>
      <c r="G30" s="34">
        <f>C_S_G($H30:AV30,$H$9:AV$9,csg_table,E$9,F30)</f>
        <v>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v>1</v>
      </c>
      <c r="AV30" s="33">
        <v>1</v>
      </c>
      <c r="AZ30" s="41">
        <f t="shared" si="3"/>
        <v>239</v>
      </c>
      <c r="BA30" s="40">
        <f>VLOOKUP(C30,'2005Nationals'!$C$8:$M$31,11,FALSE)</f>
        <v>2</v>
      </c>
      <c r="BB30" s="40">
        <f>VLOOKUP(C30,'2005NOOD'!$C$9:$K$26,9,FALSE)</f>
        <v>3</v>
      </c>
      <c r="BC30" s="40" t="e">
        <f>VLOOKUP('2005Season'!C30,'2005Crew'!$C$9:$H$16,6,FALSE)</f>
        <v>#N/A</v>
      </c>
      <c r="BD30" s="40">
        <f t="shared" si="2"/>
        <v>2</v>
      </c>
    </row>
    <row r="31" spans="3:56" ht="11.25">
      <c r="C31" s="41">
        <v>57</v>
      </c>
      <c r="D31" s="40" t="s">
        <v>325</v>
      </c>
      <c r="E31" s="33">
        <f t="shared" si="0"/>
        <v>6</v>
      </c>
      <c r="F31" s="33">
        <f t="shared" si="1"/>
        <v>0</v>
      </c>
      <c r="G31" s="34">
        <f>C_S_G($H31:AV31,$H$9:AV$9,csg_table,E$9,F31)</f>
        <v>0.9375</v>
      </c>
      <c r="H31" s="33"/>
      <c r="I31" s="33"/>
      <c r="J31" s="33"/>
      <c r="K31" s="33"/>
      <c r="L31" s="33"/>
      <c r="M31" s="33"/>
      <c r="N31" s="33"/>
      <c r="O31" s="33">
        <v>1</v>
      </c>
      <c r="P31" s="33">
        <v>5</v>
      </c>
      <c r="Q31" s="33">
        <v>1</v>
      </c>
      <c r="R31" s="33">
        <v>2</v>
      </c>
      <c r="S31" s="33">
        <v>1</v>
      </c>
      <c r="T31" s="33">
        <v>4</v>
      </c>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Z31" s="41">
        <f t="shared" si="3"/>
        <v>57</v>
      </c>
      <c r="BA31" s="40" t="e">
        <f>VLOOKUP(C31,'2005Nationals'!$C$8:$M$31,11,FALSE)</f>
        <v>#N/A</v>
      </c>
      <c r="BB31" s="40" t="e">
        <f>VLOOKUP(C31,'2005NOOD'!$C$9:$K$26,9,FALSE)</f>
        <v>#N/A</v>
      </c>
      <c r="BC31" s="40" t="e">
        <f>VLOOKUP('2005Season'!C31,'2005Crew'!$C$9:$H$16,6,FALSE)</f>
        <v>#N/A</v>
      </c>
      <c r="BD31" s="40"/>
    </row>
    <row r="32" spans="3:56" ht="11.25">
      <c r="C32" s="41">
        <v>83</v>
      </c>
      <c r="D32" s="40" t="s">
        <v>326</v>
      </c>
      <c r="E32" s="33">
        <f t="shared" si="0"/>
        <v>10</v>
      </c>
      <c r="F32" s="33">
        <f t="shared" si="1"/>
        <v>1</v>
      </c>
      <c r="G32" s="34">
        <f>C_S_G($H32:AV32,$H$9:AV$9,csg_table,E$9,F32)</f>
        <v>0.7457434733257662</v>
      </c>
      <c r="H32" s="33"/>
      <c r="I32" s="33"/>
      <c r="J32" s="33"/>
      <c r="K32" s="33"/>
      <c r="L32" s="33"/>
      <c r="M32" s="33"/>
      <c r="N32" s="33"/>
      <c r="O32" s="33">
        <v>6</v>
      </c>
      <c r="P32" s="33">
        <v>10</v>
      </c>
      <c r="Q32" s="33">
        <v>7</v>
      </c>
      <c r="R32" s="33">
        <v>11</v>
      </c>
      <c r="S32" s="33">
        <v>9</v>
      </c>
      <c r="T32" s="33">
        <v>2</v>
      </c>
      <c r="U32" s="33"/>
      <c r="V32" s="33"/>
      <c r="W32" s="33"/>
      <c r="X32" s="33"/>
      <c r="Y32" s="33"/>
      <c r="Z32" s="33"/>
      <c r="AA32" s="33"/>
      <c r="AB32" s="33">
        <v>16</v>
      </c>
      <c r="AC32" s="33">
        <v>12</v>
      </c>
      <c r="AD32" s="33">
        <v>11</v>
      </c>
      <c r="AE32" s="33">
        <v>11</v>
      </c>
      <c r="AF32" s="33"/>
      <c r="AG32" s="33"/>
      <c r="AH32" s="33"/>
      <c r="AI32" s="33"/>
      <c r="AJ32" s="33"/>
      <c r="AK32" s="33"/>
      <c r="AL32" s="33"/>
      <c r="AM32" s="33"/>
      <c r="AN32" s="33"/>
      <c r="AO32" s="33"/>
      <c r="AP32" s="33"/>
      <c r="AQ32" s="33"/>
      <c r="AR32" s="33"/>
      <c r="AS32" s="33"/>
      <c r="AT32" s="33"/>
      <c r="AU32" s="33"/>
      <c r="AV32" s="33"/>
      <c r="AZ32" s="41">
        <f t="shared" si="3"/>
        <v>83</v>
      </c>
      <c r="BA32" s="40" t="e">
        <f>VLOOKUP(C32,'2005Nationals'!$C$8:$M$31,11,FALSE)</f>
        <v>#N/A</v>
      </c>
      <c r="BB32" s="40" t="e">
        <f>VLOOKUP(C32,'2005NOOD'!$C$9:$K$26,9,FALSE)</f>
        <v>#N/A</v>
      </c>
      <c r="BC32" s="40" t="e">
        <f>VLOOKUP('2005Season'!C32,'2005Crew'!$C$9:$H$16,6,FALSE)</f>
        <v>#N/A</v>
      </c>
      <c r="BD32" s="40"/>
    </row>
    <row r="33" spans="3:56" ht="11.25">
      <c r="C33" s="41">
        <v>246</v>
      </c>
      <c r="D33" s="40" t="s">
        <v>163</v>
      </c>
      <c r="E33" s="33">
        <f t="shared" si="0"/>
        <v>6</v>
      </c>
      <c r="F33" s="33">
        <f t="shared" si="1"/>
        <v>0</v>
      </c>
      <c r="G33" s="34">
        <f>C_S_G($H33:AV33,$H$9:AV$9,csg_table,E$9,F33)</f>
        <v>0.7516891891891891</v>
      </c>
      <c r="H33" s="33"/>
      <c r="I33" s="33"/>
      <c r="J33" s="33"/>
      <c r="K33" s="33"/>
      <c r="L33" s="33"/>
      <c r="M33" s="33"/>
      <c r="N33" s="33"/>
      <c r="O33" s="33">
        <v>4</v>
      </c>
      <c r="P33" s="33">
        <v>13</v>
      </c>
      <c r="Q33" s="33">
        <v>4</v>
      </c>
      <c r="R33" s="33">
        <v>14</v>
      </c>
      <c r="S33" s="33">
        <v>11</v>
      </c>
      <c r="T33" s="33">
        <v>6</v>
      </c>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Z33" s="41">
        <f t="shared" si="3"/>
        <v>246</v>
      </c>
      <c r="BA33" s="40" t="e">
        <f>VLOOKUP(C33,'2005Nationals'!$C$8:$M$31,11,FALSE)</f>
        <v>#N/A</v>
      </c>
      <c r="BB33" s="40" t="e">
        <f>VLOOKUP(C33,'2005NOOD'!$C$9:$K$26,9,FALSE)</f>
        <v>#N/A</v>
      </c>
      <c r="BC33" s="40" t="e">
        <f>VLOOKUP('2005Season'!C33,'2005Crew'!$C$9:$H$16,6,FALSE)</f>
        <v>#N/A</v>
      </c>
      <c r="BD33" s="40"/>
    </row>
    <row r="34" spans="3:56" ht="11.25">
      <c r="C34" s="41">
        <v>87</v>
      </c>
      <c r="D34" s="40" t="s">
        <v>327</v>
      </c>
      <c r="E34" s="33">
        <f t="shared" si="0"/>
        <v>6</v>
      </c>
      <c r="F34" s="33">
        <f t="shared" si="1"/>
        <v>0</v>
      </c>
      <c r="G34" s="34">
        <f>C_S_G($H34:AV34,$H$9:AV$9,csg_table,E$9,F34)</f>
        <v>0.7246621621621622</v>
      </c>
      <c r="H34" s="33"/>
      <c r="I34" s="33"/>
      <c r="J34" s="33"/>
      <c r="K34" s="33"/>
      <c r="L34" s="33"/>
      <c r="M34" s="33"/>
      <c r="N34" s="33"/>
      <c r="O34" s="33">
        <v>12</v>
      </c>
      <c r="P34" s="33">
        <v>16</v>
      </c>
      <c r="Q34" s="33">
        <v>6</v>
      </c>
      <c r="R34" s="33">
        <v>8</v>
      </c>
      <c r="S34" s="33">
        <v>10</v>
      </c>
      <c r="T34" s="33">
        <v>7</v>
      </c>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Z34" s="41">
        <f t="shared" si="3"/>
        <v>87</v>
      </c>
      <c r="BA34" s="40" t="e">
        <f>VLOOKUP(C34,'2005Nationals'!$C$8:$M$31,11,FALSE)</f>
        <v>#N/A</v>
      </c>
      <c r="BB34" s="40" t="e">
        <f>VLOOKUP(C34,'2005NOOD'!$C$9:$K$26,9,FALSE)</f>
        <v>#N/A</v>
      </c>
      <c r="BC34" s="40" t="e">
        <f>VLOOKUP('2005Season'!C34,'2005Crew'!$C$9:$H$16,6,FALSE)</f>
        <v>#N/A</v>
      </c>
      <c r="BD34" s="40"/>
    </row>
    <row r="35" spans="3:56" ht="11.25">
      <c r="C35" s="51">
        <v>22</v>
      </c>
      <c r="D35" s="61" t="s">
        <v>216</v>
      </c>
      <c r="E35" s="35">
        <f t="shared" si="0"/>
        <v>0</v>
      </c>
      <c r="F35" s="35">
        <f t="shared" si="1"/>
        <v>0</v>
      </c>
      <c r="G35" s="36">
        <f>C_S_G($H35:AV35,$H$9:AV$9,csg_table,E$9,F35)</f>
        <v>0</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Z35" s="51">
        <f t="shared" si="3"/>
        <v>22</v>
      </c>
      <c r="BA35" s="61" t="e">
        <f>VLOOKUP(C35,'2005Nationals'!$C$8:$M$31,11,FALSE)</f>
        <v>#N/A</v>
      </c>
      <c r="BB35" s="61" t="e">
        <f>VLOOKUP(C35,'2005NOOD'!$C$9:$K$26,9,FALSE)</f>
        <v>#N/A</v>
      </c>
      <c r="BC35" s="61" t="e">
        <f>VLOOKUP('2005Season'!C35,'2005Crew'!$C$9:$H$16,6,FALSE)</f>
        <v>#N/A</v>
      </c>
      <c r="BD35" s="61"/>
    </row>
    <row r="36" ht="11.25">
      <c r="N36" s="28" t="s">
        <v>7</v>
      </c>
    </row>
    <row r="37" ht="11.25">
      <c r="D37" s="28" t="s">
        <v>553</v>
      </c>
    </row>
    <row r="38" ht="11.25">
      <c r="D38" s="28" t="s">
        <v>555</v>
      </c>
    </row>
    <row r="40" ht="11.25">
      <c r="D40" s="28" t="s">
        <v>397</v>
      </c>
    </row>
    <row r="41" ht="11.25">
      <c r="D41" s="28" t="s">
        <v>501</v>
      </c>
    </row>
    <row r="42" ht="11.25">
      <c r="D42" s="28" t="s">
        <v>450</v>
      </c>
    </row>
  </sheetData>
  <sheetProtection/>
  <mergeCells count="8">
    <mergeCell ref="H5:K5"/>
    <mergeCell ref="U5:X5"/>
    <mergeCell ref="AU5:AV5"/>
    <mergeCell ref="Y5:AF5"/>
    <mergeCell ref="AQ5:AR5"/>
    <mergeCell ref="AJ5:AP5"/>
    <mergeCell ref="AS5:AT5"/>
    <mergeCell ref="AH5:AI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7"/>
  <dimension ref="B2:K29"/>
  <sheetViews>
    <sheetView zoomScalePageLayoutView="0" workbookViewId="0" topLeftCell="A1">
      <selection activeCell="A1" sqref="A1"/>
    </sheetView>
  </sheetViews>
  <sheetFormatPr defaultColWidth="9.140625" defaultRowHeight="12.75"/>
  <cols>
    <col min="1" max="1" width="3.28125" style="3" customWidth="1"/>
    <col min="2" max="3" width="9.140625" style="3" customWidth="1"/>
    <col min="4" max="4" width="18.57421875" style="3" bestFit="1" customWidth="1"/>
    <col min="5" max="5" width="16.421875" style="3" bestFit="1" customWidth="1"/>
    <col min="6" max="10" width="9.140625" style="11" customWidth="1"/>
    <col min="11" max="16384" width="9.140625" style="3" customWidth="1"/>
  </cols>
  <sheetData>
    <row r="2" ht="12.75">
      <c r="B2" s="3" t="s">
        <v>393</v>
      </c>
    </row>
    <row r="3" ht="12.75">
      <c r="B3" s="3" t="s">
        <v>396</v>
      </c>
    </row>
    <row r="4" ht="12.75">
      <c r="B4" s="3" t="s">
        <v>155</v>
      </c>
    </row>
    <row r="6" ht="12.75">
      <c r="B6" s="3" t="s">
        <v>356</v>
      </c>
    </row>
    <row r="8" spans="2:10" ht="12.75">
      <c r="B8" s="153"/>
      <c r="C8" s="153" t="s">
        <v>256</v>
      </c>
      <c r="D8" s="153" t="s">
        <v>357</v>
      </c>
      <c r="E8" s="153" t="s">
        <v>358</v>
      </c>
      <c r="F8" s="153" t="s">
        <v>359</v>
      </c>
      <c r="G8" s="153" t="s">
        <v>360</v>
      </c>
      <c r="H8" s="153" t="s">
        <v>376</v>
      </c>
      <c r="I8" s="153" t="s">
        <v>377</v>
      </c>
      <c r="J8" s="153" t="s">
        <v>98</v>
      </c>
    </row>
    <row r="9" spans="2:11" ht="12.75">
      <c r="B9" s="155">
        <v>1</v>
      </c>
      <c r="C9" s="155">
        <v>25</v>
      </c>
      <c r="D9" s="154" t="s">
        <v>361</v>
      </c>
      <c r="E9" s="154" t="s">
        <v>162</v>
      </c>
      <c r="F9" s="155">
        <v>7</v>
      </c>
      <c r="G9" s="155">
        <v>1</v>
      </c>
      <c r="H9" s="155">
        <v>3</v>
      </c>
      <c r="I9" s="158">
        <v>5</v>
      </c>
      <c r="J9" s="155">
        <v>16</v>
      </c>
      <c r="K9" s="223">
        <v>1</v>
      </c>
    </row>
    <row r="10" spans="2:11" ht="12.75">
      <c r="B10" s="155">
        <v>2</v>
      </c>
      <c r="C10" s="155">
        <v>107</v>
      </c>
      <c r="D10" s="154" t="s">
        <v>362</v>
      </c>
      <c r="E10" s="154" t="s">
        <v>378</v>
      </c>
      <c r="F10" s="155">
        <v>1</v>
      </c>
      <c r="G10" s="155">
        <v>8</v>
      </c>
      <c r="H10" s="155">
        <v>5</v>
      </c>
      <c r="I10" s="158">
        <v>3</v>
      </c>
      <c r="J10" s="155">
        <v>17</v>
      </c>
      <c r="K10" s="223">
        <v>2</v>
      </c>
    </row>
    <row r="11" spans="2:11" ht="12.75">
      <c r="B11" s="155">
        <v>3</v>
      </c>
      <c r="C11" s="155">
        <v>239</v>
      </c>
      <c r="D11" s="154" t="s">
        <v>365</v>
      </c>
      <c r="E11" s="154" t="s">
        <v>379</v>
      </c>
      <c r="F11" s="155">
        <v>3</v>
      </c>
      <c r="G11" s="155">
        <v>9</v>
      </c>
      <c r="H11" s="155">
        <v>2</v>
      </c>
      <c r="I11" s="158">
        <v>7</v>
      </c>
      <c r="J11" s="155">
        <v>21</v>
      </c>
      <c r="K11" s="223">
        <v>3</v>
      </c>
    </row>
    <row r="12" spans="2:11" ht="12.75">
      <c r="B12" s="155">
        <v>4</v>
      </c>
      <c r="C12" s="155">
        <v>23</v>
      </c>
      <c r="D12" s="154" t="s">
        <v>363</v>
      </c>
      <c r="E12" s="154" t="s">
        <v>380</v>
      </c>
      <c r="F12" s="155">
        <v>9</v>
      </c>
      <c r="G12" s="155">
        <v>2</v>
      </c>
      <c r="H12" s="155">
        <v>10</v>
      </c>
      <c r="I12" s="158">
        <v>1</v>
      </c>
      <c r="J12" s="155">
        <v>22</v>
      </c>
      <c r="K12" s="223">
        <v>4</v>
      </c>
    </row>
    <row r="13" spans="2:11" ht="12.75">
      <c r="B13" s="155">
        <v>5</v>
      </c>
      <c r="C13" s="155">
        <v>106</v>
      </c>
      <c r="D13" s="154" t="s">
        <v>364</v>
      </c>
      <c r="E13" s="154" t="s">
        <v>381</v>
      </c>
      <c r="F13" s="155">
        <v>5</v>
      </c>
      <c r="G13" s="155">
        <v>6</v>
      </c>
      <c r="H13" s="155">
        <v>9</v>
      </c>
      <c r="I13" s="158">
        <v>2</v>
      </c>
      <c r="J13" s="155">
        <v>22</v>
      </c>
      <c r="K13" s="223">
        <v>5</v>
      </c>
    </row>
    <row r="14" spans="2:11" ht="12.75">
      <c r="B14" s="155">
        <v>6</v>
      </c>
      <c r="C14" s="155">
        <v>182</v>
      </c>
      <c r="D14" s="154" t="s">
        <v>368</v>
      </c>
      <c r="E14" s="154" t="s">
        <v>178</v>
      </c>
      <c r="F14" s="155">
        <v>6</v>
      </c>
      <c r="G14" s="155">
        <v>7</v>
      </c>
      <c r="H14" s="155">
        <v>1</v>
      </c>
      <c r="I14" s="158">
        <v>12</v>
      </c>
      <c r="J14" s="155">
        <v>26</v>
      </c>
      <c r="K14" s="223">
        <v>6</v>
      </c>
    </row>
    <row r="15" spans="2:11" ht="12.75">
      <c r="B15" s="155">
        <v>7</v>
      </c>
      <c r="C15" s="155">
        <v>176</v>
      </c>
      <c r="D15" s="154" t="s">
        <v>367</v>
      </c>
      <c r="E15" s="154" t="s">
        <v>382</v>
      </c>
      <c r="F15" s="155">
        <v>2</v>
      </c>
      <c r="G15" s="155">
        <v>11</v>
      </c>
      <c r="H15" s="155">
        <v>4</v>
      </c>
      <c r="I15" s="158">
        <v>9</v>
      </c>
      <c r="J15" s="155">
        <v>26</v>
      </c>
      <c r="K15" s="223">
        <v>7</v>
      </c>
    </row>
    <row r="16" spans="2:11" ht="12.75">
      <c r="B16" s="155">
        <v>8</v>
      </c>
      <c r="C16" s="155">
        <v>221</v>
      </c>
      <c r="D16" s="154" t="s">
        <v>366</v>
      </c>
      <c r="E16" s="154" t="s">
        <v>241</v>
      </c>
      <c r="F16" s="155">
        <v>8</v>
      </c>
      <c r="G16" s="155">
        <v>4</v>
      </c>
      <c r="H16" s="155">
        <v>7</v>
      </c>
      <c r="I16" s="158">
        <v>10</v>
      </c>
      <c r="J16" s="155">
        <v>29</v>
      </c>
      <c r="K16" s="223">
        <v>8</v>
      </c>
    </row>
    <row r="17" spans="2:11" ht="12.75">
      <c r="B17" s="155">
        <v>9</v>
      </c>
      <c r="C17" s="155">
        <v>142</v>
      </c>
      <c r="D17" s="154" t="s">
        <v>383</v>
      </c>
      <c r="E17" s="154" t="s">
        <v>384</v>
      </c>
      <c r="F17" s="155">
        <v>4</v>
      </c>
      <c r="G17" s="155">
        <v>12</v>
      </c>
      <c r="H17" s="155">
        <v>13</v>
      </c>
      <c r="I17" s="158">
        <v>6</v>
      </c>
      <c r="J17" s="155">
        <v>35</v>
      </c>
      <c r="K17" s="223">
        <v>9</v>
      </c>
    </row>
    <row r="18" spans="2:11" ht="12.75">
      <c r="B18" s="155">
        <v>10</v>
      </c>
      <c r="C18" s="155">
        <v>231</v>
      </c>
      <c r="D18" s="154" t="s">
        <v>372</v>
      </c>
      <c r="E18" s="154" t="s">
        <v>246</v>
      </c>
      <c r="F18" s="155">
        <v>10</v>
      </c>
      <c r="G18" s="155" t="s">
        <v>103</v>
      </c>
      <c r="H18" s="155">
        <v>6</v>
      </c>
      <c r="I18" s="158">
        <v>4</v>
      </c>
      <c r="J18" s="155">
        <v>39</v>
      </c>
      <c r="K18" s="223">
        <v>10</v>
      </c>
    </row>
    <row r="19" spans="2:11" ht="12.75">
      <c r="B19" s="155">
        <v>11</v>
      </c>
      <c r="C19" s="155">
        <v>197</v>
      </c>
      <c r="D19" s="154" t="s">
        <v>385</v>
      </c>
      <c r="E19" s="154" t="s">
        <v>386</v>
      </c>
      <c r="F19" s="155">
        <v>13</v>
      </c>
      <c r="G19" s="155">
        <v>3</v>
      </c>
      <c r="H19" s="155">
        <v>17</v>
      </c>
      <c r="I19" s="158">
        <v>14</v>
      </c>
      <c r="J19" s="155">
        <v>47</v>
      </c>
      <c r="K19" s="223">
        <v>11</v>
      </c>
    </row>
    <row r="20" spans="2:11" ht="12.75">
      <c r="B20" s="155">
        <v>12</v>
      </c>
      <c r="C20" s="155">
        <v>117</v>
      </c>
      <c r="D20" s="154" t="s">
        <v>369</v>
      </c>
      <c r="E20" s="154" t="s">
        <v>387</v>
      </c>
      <c r="F20" s="155">
        <v>12</v>
      </c>
      <c r="G20" s="155">
        <v>5</v>
      </c>
      <c r="H20" s="155">
        <v>16</v>
      </c>
      <c r="I20" s="158">
        <v>15</v>
      </c>
      <c r="J20" s="155">
        <v>48</v>
      </c>
      <c r="K20" s="223">
        <v>12</v>
      </c>
    </row>
    <row r="21" spans="2:11" ht="12.75">
      <c r="B21" s="155">
        <v>13</v>
      </c>
      <c r="C21" s="155">
        <v>11</v>
      </c>
      <c r="D21" s="154" t="s">
        <v>371</v>
      </c>
      <c r="E21" s="154" t="s">
        <v>388</v>
      </c>
      <c r="F21" s="155">
        <v>11</v>
      </c>
      <c r="G21" s="155">
        <v>14</v>
      </c>
      <c r="H21" s="155">
        <v>12</v>
      </c>
      <c r="I21" s="158">
        <v>11</v>
      </c>
      <c r="J21" s="155">
        <v>48</v>
      </c>
      <c r="K21" s="223">
        <v>13</v>
      </c>
    </row>
    <row r="22" spans="2:11" ht="12.75">
      <c r="B22" s="155">
        <v>14</v>
      </c>
      <c r="C22" s="155">
        <v>150</v>
      </c>
      <c r="D22" s="154" t="s">
        <v>374</v>
      </c>
      <c r="E22" s="154" t="s">
        <v>389</v>
      </c>
      <c r="F22" s="155">
        <v>15</v>
      </c>
      <c r="G22" s="155">
        <v>15</v>
      </c>
      <c r="H22" s="155">
        <v>8</v>
      </c>
      <c r="I22" s="158">
        <v>13</v>
      </c>
      <c r="J22" s="155">
        <v>51</v>
      </c>
      <c r="K22" s="223">
        <v>14</v>
      </c>
    </row>
    <row r="23" spans="2:11" ht="12.75">
      <c r="B23" s="155">
        <v>15</v>
      </c>
      <c r="C23" s="155">
        <v>70</v>
      </c>
      <c r="D23" s="154" t="s">
        <v>370</v>
      </c>
      <c r="E23" s="154" t="s">
        <v>390</v>
      </c>
      <c r="F23" s="155">
        <v>14</v>
      </c>
      <c r="G23" s="155">
        <v>10</v>
      </c>
      <c r="H23" s="155">
        <v>14</v>
      </c>
      <c r="I23" s="158">
        <v>16</v>
      </c>
      <c r="J23" s="155">
        <v>54</v>
      </c>
      <c r="K23" s="223">
        <v>15</v>
      </c>
    </row>
    <row r="24" spans="2:11" ht="12.75">
      <c r="B24" s="155">
        <v>16</v>
      </c>
      <c r="C24" s="155">
        <v>26</v>
      </c>
      <c r="D24" s="154" t="s">
        <v>375</v>
      </c>
      <c r="E24" s="154" t="s">
        <v>190</v>
      </c>
      <c r="F24" s="155">
        <v>17</v>
      </c>
      <c r="G24" s="155" t="s">
        <v>103</v>
      </c>
      <c r="H24" s="155">
        <v>11</v>
      </c>
      <c r="I24" s="158">
        <v>8</v>
      </c>
      <c r="J24" s="155">
        <v>55</v>
      </c>
      <c r="K24" s="223">
        <v>16</v>
      </c>
    </row>
    <row r="25" spans="2:11" ht="12.75">
      <c r="B25" s="155">
        <v>17</v>
      </c>
      <c r="C25" s="155">
        <v>238</v>
      </c>
      <c r="D25" s="154" t="s">
        <v>373</v>
      </c>
      <c r="E25" s="154" t="s">
        <v>391</v>
      </c>
      <c r="F25" s="155">
        <v>16</v>
      </c>
      <c r="G25" s="155">
        <v>13</v>
      </c>
      <c r="H25" s="155">
        <v>15</v>
      </c>
      <c r="I25" s="158">
        <v>17</v>
      </c>
      <c r="J25" s="155">
        <v>61</v>
      </c>
      <c r="K25" s="223">
        <v>17</v>
      </c>
    </row>
    <row r="26" spans="2:11" ht="12.75">
      <c r="B26" s="157">
        <v>18</v>
      </c>
      <c r="C26" s="157">
        <v>41</v>
      </c>
      <c r="D26" s="156" t="s">
        <v>392</v>
      </c>
      <c r="E26" s="156" t="s">
        <v>202</v>
      </c>
      <c r="F26" s="157" t="s">
        <v>166</v>
      </c>
      <c r="G26" s="157" t="s">
        <v>166</v>
      </c>
      <c r="H26" s="157" t="s">
        <v>166</v>
      </c>
      <c r="I26" s="159" t="s">
        <v>166</v>
      </c>
      <c r="J26" s="157">
        <v>76</v>
      </c>
      <c r="K26" s="223">
        <v>18</v>
      </c>
    </row>
    <row r="28" ht="12.75">
      <c r="B28" s="3" t="s">
        <v>395</v>
      </c>
    </row>
    <row r="29" ht="12.75">
      <c r="B29" s="76" t="s">
        <v>394</v>
      </c>
    </row>
  </sheetData>
  <sheetProtection/>
  <hyperlinks>
    <hyperlink ref="B29" location="'2005NOOD'!B29" display="http://www.sailingworld.com/article.jsp?ID=38676&amp;typeID=403&amp;catID=604&amp;exclude=NOOD"/>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
  <dimension ref="A1:F45"/>
  <sheetViews>
    <sheetView zoomScalePageLayoutView="0" workbookViewId="0" topLeftCell="A1">
      <selection activeCell="B3" sqref="B3"/>
    </sheetView>
  </sheetViews>
  <sheetFormatPr defaultColWidth="10.8515625" defaultRowHeight="12.75"/>
  <cols>
    <col min="1" max="1" width="6.8515625" style="28" customWidth="1"/>
    <col min="2" max="2" width="4.8515625" style="25" customWidth="1"/>
    <col min="3" max="3" width="33.8515625" style="28" bestFit="1" customWidth="1"/>
    <col min="4" max="6" width="10.8515625" style="25" customWidth="1"/>
    <col min="7" max="16384" width="10.8515625" style="28" customWidth="1"/>
  </cols>
  <sheetData>
    <row r="1" ht="11.25">
      <c r="B1" s="24" t="s">
        <v>306</v>
      </c>
    </row>
    <row r="2" ht="11.25">
      <c r="B2" s="24" t="s">
        <v>558</v>
      </c>
    </row>
    <row r="3" ht="11.25">
      <c r="B3" s="24"/>
    </row>
    <row r="4" ht="11.25">
      <c r="B4" s="24"/>
    </row>
    <row r="6" spans="2:6" ht="11.25">
      <c r="B6" s="196">
        <v>2005</v>
      </c>
      <c r="C6" s="50"/>
      <c r="D6" s="235" t="s">
        <v>304</v>
      </c>
      <c r="E6" s="237"/>
      <c r="F6" s="107"/>
    </row>
    <row r="7" spans="2:6" ht="11.25">
      <c r="B7" s="54"/>
      <c r="C7" s="105"/>
      <c r="D7" s="42">
        <v>2005</v>
      </c>
      <c r="E7" s="42">
        <v>2004</v>
      </c>
      <c r="F7" s="195" t="s">
        <v>503</v>
      </c>
    </row>
    <row r="8" spans="1:6" ht="11.25">
      <c r="A8" s="194">
        <v>1</v>
      </c>
      <c r="B8" s="38">
        <v>142</v>
      </c>
      <c r="C8" s="38" t="s">
        <v>214</v>
      </c>
      <c r="D8" s="208">
        <f>VLOOKUP(B8,'2005Season'!$C$11:$G$35,5,FALSE)</f>
        <v>0.7566628041714948</v>
      </c>
      <c r="E8" s="208">
        <v>0.7213504517356157</v>
      </c>
      <c r="F8" s="209">
        <f aca="true" t="shared" si="0" ref="F8:F20">D8/E8</f>
        <v>1.04895311613227</v>
      </c>
    </row>
    <row r="9" spans="1:6" ht="11.25">
      <c r="A9" s="194">
        <v>2</v>
      </c>
      <c r="B9" s="40">
        <v>176</v>
      </c>
      <c r="C9" s="40" t="s">
        <v>333</v>
      </c>
      <c r="D9" s="108">
        <f>VLOOKUP(B9,'2005Season'!$C$11:$G$35,5,FALSE)</f>
        <v>0.7888257575757576</v>
      </c>
      <c r="E9" s="108">
        <v>0.7662141779788839</v>
      </c>
      <c r="F9" s="110">
        <f t="shared" si="0"/>
        <v>1.0295107820329277</v>
      </c>
    </row>
    <row r="10" spans="1:6" ht="11.25">
      <c r="A10" s="194">
        <v>3</v>
      </c>
      <c r="B10" s="40">
        <v>41</v>
      </c>
      <c r="C10" s="40" t="s">
        <v>222</v>
      </c>
      <c r="D10" s="108">
        <f>VLOOKUP(B10,'2005Season'!$C$11:$G$35,5,FALSE)</f>
        <v>0.7129217059197963</v>
      </c>
      <c r="E10" s="108">
        <v>0.7026865671641791</v>
      </c>
      <c r="F10" s="110">
        <f t="shared" si="0"/>
        <v>1.0145657242274078</v>
      </c>
    </row>
    <row r="11" spans="1:6" ht="11.25">
      <c r="A11" s="194">
        <v>4</v>
      </c>
      <c r="B11" s="40">
        <v>25</v>
      </c>
      <c r="C11" s="40" t="s">
        <v>162</v>
      </c>
      <c r="D11" s="108">
        <f>VLOOKUP(B11,'2005Season'!$C$11:$G$35,5,FALSE)</f>
        <v>0.8986534372785259</v>
      </c>
      <c r="E11" s="108">
        <v>0.8939621507960348</v>
      </c>
      <c r="F11" s="110">
        <f t="shared" si="0"/>
        <v>1.0052477462030285</v>
      </c>
    </row>
    <row r="12" spans="1:6" ht="11.25">
      <c r="A12" s="194">
        <v>5</v>
      </c>
      <c r="B12" s="40">
        <v>70</v>
      </c>
      <c r="C12" s="40" t="s">
        <v>213</v>
      </c>
      <c r="D12" s="108">
        <f>VLOOKUP(B12,'2005Season'!$C$11:$G$35,5,FALSE)</f>
        <v>0.7545612510860121</v>
      </c>
      <c r="E12" s="108">
        <v>0.7490713990920347</v>
      </c>
      <c r="F12" s="110">
        <f t="shared" si="0"/>
        <v>1.0073288767941637</v>
      </c>
    </row>
    <row r="13" spans="1:6" ht="11.25">
      <c r="A13" s="194">
        <v>6</v>
      </c>
      <c r="B13" s="40">
        <v>197</v>
      </c>
      <c r="C13" s="40" t="s">
        <v>215</v>
      </c>
      <c r="D13" s="108">
        <f>VLOOKUP(B13,'2005Season'!$C$11:$G$35,5,FALSE)</f>
        <v>0.7021897810218978</v>
      </c>
      <c r="E13" s="108">
        <v>0.7018599562363238</v>
      </c>
      <c r="F13" s="110">
        <f t="shared" si="0"/>
        <v>1.000469929624341</v>
      </c>
    </row>
    <row r="14" spans="1:6" ht="11.25">
      <c r="A14" s="194">
        <v>7</v>
      </c>
      <c r="B14" s="40">
        <v>49</v>
      </c>
      <c r="C14" s="40" t="s">
        <v>332</v>
      </c>
      <c r="D14" s="108">
        <f>VLOOKUP(B14,'2005Season'!$C$11:$G$35,5,FALSE)</f>
        <v>0.8570577724836212</v>
      </c>
      <c r="E14" s="108">
        <v>0.8598912588874947</v>
      </c>
      <c r="F14" s="110">
        <f t="shared" si="0"/>
        <v>0.9967048317161179</v>
      </c>
    </row>
    <row r="15" spans="1:6" ht="11.25">
      <c r="A15" s="194">
        <v>8</v>
      </c>
      <c r="B15" s="40">
        <v>231</v>
      </c>
      <c r="C15" s="40" t="s">
        <v>224</v>
      </c>
      <c r="D15" s="108">
        <f>VLOOKUP(B15,'2005Season'!$C$11:$G$35,5,FALSE)</f>
        <v>0.89035350509287</v>
      </c>
      <c r="E15" s="108">
        <v>0.8996397323726196</v>
      </c>
      <c r="F15" s="110">
        <f t="shared" si="0"/>
        <v>0.9896778377548321</v>
      </c>
    </row>
    <row r="16" spans="1:6" ht="11.25">
      <c r="A16" s="194">
        <v>9</v>
      </c>
      <c r="B16" s="40">
        <v>182</v>
      </c>
      <c r="C16" s="40" t="s">
        <v>164</v>
      </c>
      <c r="D16" s="108">
        <f>VLOOKUP(B16,'2005Season'!$C$11:$G$35,5,FALSE)</f>
        <v>0.8285845588235294</v>
      </c>
      <c r="E16" s="108">
        <v>0.8572127139364303</v>
      </c>
      <c r="F16" s="110">
        <f t="shared" si="0"/>
        <v>0.9666032075265931</v>
      </c>
    </row>
    <row r="17" spans="1:6" ht="11.25">
      <c r="A17" s="194">
        <v>10</v>
      </c>
      <c r="B17" s="40">
        <v>106</v>
      </c>
      <c r="C17" s="40" t="s">
        <v>311</v>
      </c>
      <c r="D17" s="108">
        <f>VLOOKUP(B17,'2005Season'!$C$11:$G$35,5,FALSE)</f>
        <v>0.8443465491923642</v>
      </c>
      <c r="E17" s="108">
        <v>0.8959232613908873</v>
      </c>
      <c r="F17" s="110">
        <f t="shared" si="0"/>
        <v>0.942431774660642</v>
      </c>
    </row>
    <row r="18" spans="1:6" ht="11.25">
      <c r="A18" s="194">
        <v>11</v>
      </c>
      <c r="B18" s="40">
        <v>221</v>
      </c>
      <c r="C18" s="40" t="s">
        <v>211</v>
      </c>
      <c r="D18" s="108">
        <f>VLOOKUP(B18,'2005Season'!$C$11:$G$35,5,FALSE)</f>
        <v>0.8571428571428571</v>
      </c>
      <c r="E18" s="108">
        <v>0.9207708779443254</v>
      </c>
      <c r="F18" s="110">
        <f t="shared" si="0"/>
        <v>0.9308970099667774</v>
      </c>
    </row>
    <row r="19" spans="1:6" ht="11.25">
      <c r="A19" s="194">
        <v>12</v>
      </c>
      <c r="B19" s="40">
        <v>38</v>
      </c>
      <c r="C19" s="40" t="s">
        <v>208</v>
      </c>
      <c r="D19" s="108">
        <f>VLOOKUP(B19,'2005Season'!$C$11:$G$35,5,FALSE)</f>
        <v>0.6538461538461539</v>
      </c>
      <c r="E19" s="108">
        <v>0.7044948820649756</v>
      </c>
      <c r="F19" s="110">
        <f t="shared" si="0"/>
        <v>0.9281063219787161</v>
      </c>
    </row>
    <row r="20" spans="1:6" ht="11.25">
      <c r="A20" s="194">
        <v>13</v>
      </c>
      <c r="B20" s="61">
        <v>117</v>
      </c>
      <c r="C20" s="61" t="s">
        <v>209</v>
      </c>
      <c r="D20" s="109">
        <f>VLOOKUP(B20,'2005Season'!$C$11:$G$35,5,FALSE)</f>
        <v>0.6810273405136703</v>
      </c>
      <c r="E20" s="109">
        <v>0.735909090909091</v>
      </c>
      <c r="F20" s="111">
        <f t="shared" si="0"/>
        <v>0.9254231927918929</v>
      </c>
    </row>
    <row r="21" spans="1:6" ht="11.25">
      <c r="A21" s="194"/>
      <c r="B21" s="40">
        <v>23</v>
      </c>
      <c r="C21" s="40" t="s">
        <v>487</v>
      </c>
      <c r="D21" s="108">
        <f>VLOOKUP(B21,'2005Season'!$C$11:$G$35,5,FALSE)</f>
        <v>0.8663145062982528</v>
      </c>
      <c r="E21" s="212" t="s">
        <v>532</v>
      </c>
      <c r="F21" s="110"/>
    </row>
    <row r="22" spans="1:6" ht="11.25">
      <c r="A22" s="194"/>
      <c r="B22" s="61">
        <v>183</v>
      </c>
      <c r="C22" s="61" t="s">
        <v>223</v>
      </c>
      <c r="D22" s="109">
        <f>VLOOKUP(B22,'2005Season'!$C$11:$G$35,5,FALSE)</f>
        <v>0.7448724362181091</v>
      </c>
      <c r="E22" s="210" t="s">
        <v>531</v>
      </c>
      <c r="F22" s="111"/>
    </row>
    <row r="25" spans="2:6" ht="11.25">
      <c r="B25" s="196">
        <v>2004</v>
      </c>
      <c r="C25" s="50"/>
      <c r="D25" s="235" t="s">
        <v>304</v>
      </c>
      <c r="E25" s="237"/>
      <c r="F25" s="107"/>
    </row>
    <row r="26" spans="2:6" ht="11.25">
      <c r="B26" s="54"/>
      <c r="C26" s="105" t="s">
        <v>305</v>
      </c>
      <c r="D26" s="42">
        <v>2004</v>
      </c>
      <c r="E26" s="42">
        <v>2003</v>
      </c>
      <c r="F26" s="195" t="s">
        <v>303</v>
      </c>
    </row>
    <row r="27" spans="1:6" ht="11.25">
      <c r="A27" s="194">
        <v>1</v>
      </c>
      <c r="B27" s="40">
        <v>49</v>
      </c>
      <c r="C27" s="40" t="s">
        <v>300</v>
      </c>
      <c r="D27" s="108">
        <v>0.8598912588874947</v>
      </c>
      <c r="E27" s="108">
        <v>0.8203434610303831</v>
      </c>
      <c r="F27" s="110">
        <f aca="true" t="shared" si="1" ref="F27:F36">D27/E27</f>
        <v>1.0482088292718736</v>
      </c>
    </row>
    <row r="28" spans="1:6" ht="11.25">
      <c r="A28" s="194">
        <v>2</v>
      </c>
      <c r="B28" s="40">
        <v>38</v>
      </c>
      <c r="C28" s="40" t="s">
        <v>298</v>
      </c>
      <c r="D28" s="108">
        <v>0.7044948820649756</v>
      </c>
      <c r="E28" s="108">
        <v>0.6783783783783783</v>
      </c>
      <c r="F28" s="110">
        <f t="shared" si="1"/>
        <v>1.038498431729247</v>
      </c>
    </row>
    <row r="29" spans="1:6" ht="11.25">
      <c r="A29" s="194">
        <v>3</v>
      </c>
      <c r="B29" s="40">
        <v>231</v>
      </c>
      <c r="C29" s="40" t="s">
        <v>297</v>
      </c>
      <c r="D29" s="108">
        <v>0.8996397323726196</v>
      </c>
      <c r="E29" s="108">
        <v>0.8877005347593583</v>
      </c>
      <c r="F29" s="110">
        <f t="shared" si="1"/>
        <v>1.013449578034216</v>
      </c>
    </row>
    <row r="30" spans="1:6" ht="11.25">
      <c r="A30" s="194">
        <v>4</v>
      </c>
      <c r="B30" s="40">
        <v>221</v>
      </c>
      <c r="C30" s="40" t="s">
        <v>296</v>
      </c>
      <c r="D30" s="108">
        <v>0.9207708779443254</v>
      </c>
      <c r="E30" s="108">
        <v>0.9244218838127467</v>
      </c>
      <c r="F30" s="110">
        <f t="shared" si="1"/>
        <v>0.9960504982277542</v>
      </c>
    </row>
    <row r="31" spans="1:6" ht="11.25">
      <c r="A31" s="194">
        <v>5</v>
      </c>
      <c r="B31" s="40">
        <v>25</v>
      </c>
      <c r="C31" s="40" t="s">
        <v>295</v>
      </c>
      <c r="D31" s="108">
        <v>0.8939621507960348</v>
      </c>
      <c r="E31" s="108">
        <v>0.9054699946893255</v>
      </c>
      <c r="F31" s="110">
        <f t="shared" si="1"/>
        <v>0.9872907507031868</v>
      </c>
    </row>
    <row r="32" spans="1:6" ht="11.25">
      <c r="A32" s="194">
        <v>6</v>
      </c>
      <c r="B32" s="40">
        <v>142</v>
      </c>
      <c r="C32" s="40" t="s">
        <v>171</v>
      </c>
      <c r="D32" s="108">
        <v>0.7213504517356157</v>
      </c>
      <c r="E32" s="108">
        <v>0.737457379444715</v>
      </c>
      <c r="F32" s="110">
        <f t="shared" si="1"/>
        <v>0.9781588358079387</v>
      </c>
    </row>
    <row r="33" spans="1:6" ht="11.25">
      <c r="A33" s="194">
        <v>7</v>
      </c>
      <c r="B33" s="40">
        <v>182</v>
      </c>
      <c r="C33" s="40" t="s">
        <v>170</v>
      </c>
      <c r="D33" s="108">
        <v>0.8572127139364303</v>
      </c>
      <c r="E33" s="108">
        <v>0.8917306052855924</v>
      </c>
      <c r="F33" s="110">
        <f t="shared" si="1"/>
        <v>0.96129112184267</v>
      </c>
    </row>
    <row r="34" spans="1:6" ht="11.25">
      <c r="A34" s="194">
        <v>8</v>
      </c>
      <c r="B34" s="40">
        <v>197</v>
      </c>
      <c r="C34" s="40" t="s">
        <v>301</v>
      </c>
      <c r="D34" s="108">
        <v>0.7018599562363238</v>
      </c>
      <c r="E34" s="108">
        <v>0.7308823529411764</v>
      </c>
      <c r="F34" s="110">
        <f t="shared" si="1"/>
        <v>0.9602912882106645</v>
      </c>
    </row>
    <row r="35" spans="1:6" ht="11.25">
      <c r="A35" s="194">
        <v>9</v>
      </c>
      <c r="B35" s="40">
        <v>70</v>
      </c>
      <c r="C35" s="40" t="s">
        <v>299</v>
      </c>
      <c r="D35" s="108">
        <v>0.7490713990920347</v>
      </c>
      <c r="E35" s="108">
        <v>0.7913513513513514</v>
      </c>
      <c r="F35" s="110">
        <f t="shared" si="1"/>
        <v>0.946572464699634</v>
      </c>
    </row>
    <row r="36" spans="1:6" ht="11.25">
      <c r="A36" s="28">
        <v>10</v>
      </c>
      <c r="B36" s="61">
        <v>183</v>
      </c>
      <c r="C36" s="61" t="s">
        <v>302</v>
      </c>
      <c r="D36" s="109">
        <v>0.6729411764705883</v>
      </c>
      <c r="E36" s="109">
        <v>0.7227648384673178</v>
      </c>
      <c r="F36" s="111">
        <f t="shared" si="1"/>
        <v>0.9310651828298888</v>
      </c>
    </row>
    <row r="37" spans="1:6" ht="11.25">
      <c r="A37" s="194"/>
      <c r="B37" s="38">
        <v>106</v>
      </c>
      <c r="C37" s="38" t="s">
        <v>122</v>
      </c>
      <c r="D37" s="208">
        <v>0.8959232613908873</v>
      </c>
      <c r="E37" s="208"/>
      <c r="F37" s="209"/>
    </row>
    <row r="38" spans="1:6" ht="11.25">
      <c r="A38" s="194"/>
      <c r="B38" s="40">
        <v>26</v>
      </c>
      <c r="C38" s="40" t="s">
        <v>128</v>
      </c>
      <c r="D38" s="108">
        <v>0.7688622754491018</v>
      </c>
      <c r="E38" s="108"/>
      <c r="F38" s="110"/>
    </row>
    <row r="39" spans="1:6" ht="11.25">
      <c r="A39" s="194"/>
      <c r="B39" s="40">
        <v>54</v>
      </c>
      <c r="C39" s="40" t="s">
        <v>525</v>
      </c>
      <c r="D39" s="108">
        <v>0.767762460233298</v>
      </c>
      <c r="E39" s="108"/>
      <c r="F39" s="110"/>
    </row>
    <row r="40" spans="1:6" ht="11.25">
      <c r="A40" s="194"/>
      <c r="B40" s="40">
        <v>176</v>
      </c>
      <c r="C40" s="40" t="s">
        <v>206</v>
      </c>
      <c r="D40" s="108">
        <v>0.7662141779788839</v>
      </c>
      <c r="E40" s="108"/>
      <c r="F40" s="110"/>
    </row>
    <row r="41" spans="1:6" ht="11.25">
      <c r="A41" s="194"/>
      <c r="B41" s="40">
        <v>117</v>
      </c>
      <c r="C41" s="40" t="s">
        <v>108</v>
      </c>
      <c r="D41" s="108">
        <v>0.735909090909091</v>
      </c>
      <c r="E41" s="108"/>
      <c r="F41" s="110"/>
    </row>
    <row r="42" spans="1:6" ht="11.25">
      <c r="A42" s="194"/>
      <c r="B42" s="40">
        <v>41</v>
      </c>
      <c r="C42" s="40" t="s">
        <v>125</v>
      </c>
      <c r="D42" s="108">
        <v>0.7026865671641791</v>
      </c>
      <c r="E42" s="108"/>
      <c r="F42" s="110"/>
    </row>
    <row r="43" spans="1:6" ht="11.25">
      <c r="A43" s="194"/>
      <c r="B43" s="40">
        <v>16</v>
      </c>
      <c r="C43" s="40" t="s">
        <v>127</v>
      </c>
      <c r="D43" s="108">
        <v>0.6666666666666666</v>
      </c>
      <c r="E43" s="108"/>
      <c r="F43" s="110"/>
    </row>
    <row r="44" spans="1:6" ht="11.25">
      <c r="A44" s="194"/>
      <c r="B44" s="40">
        <v>5</v>
      </c>
      <c r="C44" s="40" t="s">
        <v>527</v>
      </c>
      <c r="D44" s="108">
        <v>0.6161971830985915</v>
      </c>
      <c r="E44" s="108"/>
      <c r="F44" s="110"/>
    </row>
    <row r="45" spans="1:6" ht="11.25">
      <c r="A45" s="194"/>
      <c r="B45" s="61">
        <v>22</v>
      </c>
      <c r="C45" s="61" t="s">
        <v>528</v>
      </c>
      <c r="D45" s="109">
        <v>0</v>
      </c>
      <c r="E45" s="109"/>
      <c r="F45" s="111"/>
    </row>
  </sheetData>
  <sheetProtection/>
  <mergeCells count="2">
    <mergeCell ref="D25:E25"/>
    <mergeCell ref="D6:E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28"/>
  <dimension ref="A1:X22"/>
  <sheetViews>
    <sheetView zoomScalePageLayoutView="0" workbookViewId="0" topLeftCell="B1">
      <selection activeCell="O25" sqref="O25"/>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4.421875" style="28" customWidth="1"/>
    <col min="12" max="24" width="4.140625" style="28" customWidth="1"/>
    <col min="25" max="16384" width="9.140625" style="28" customWidth="1"/>
  </cols>
  <sheetData>
    <row r="1" ht="11.25">
      <c r="A1" s="28" t="s">
        <v>7</v>
      </c>
    </row>
    <row r="2" ht="11.25">
      <c r="D2" s="234" t="s">
        <v>567</v>
      </c>
    </row>
    <row r="3" ht="11.25">
      <c r="D3" s="28" t="s">
        <v>500</v>
      </c>
    </row>
    <row r="4" spans="8:24" ht="11.25">
      <c r="H4" s="29"/>
      <c r="I4" s="30"/>
      <c r="J4" s="30"/>
      <c r="K4" s="30"/>
      <c r="L4" s="30"/>
      <c r="M4" s="30"/>
      <c r="N4" s="30"/>
      <c r="O4" s="31"/>
      <c r="P4" s="50"/>
      <c r="Q4" s="50"/>
      <c r="R4" s="50"/>
      <c r="S4" s="50"/>
      <c r="T4" s="50"/>
      <c r="U4" s="50"/>
      <c r="V4" s="50"/>
      <c r="W4" s="30"/>
      <c r="X4" s="31"/>
    </row>
    <row r="5" spans="4:24" ht="11.25">
      <c r="D5" s="192"/>
      <c r="H5" s="235" t="s">
        <v>113</v>
      </c>
      <c r="I5" s="236"/>
      <c r="J5" s="236"/>
      <c r="K5" s="237"/>
      <c r="L5" s="236" t="s">
        <v>118</v>
      </c>
      <c r="M5" s="236"/>
      <c r="N5" s="236"/>
      <c r="O5" s="237"/>
      <c r="P5" s="235" t="s">
        <v>355</v>
      </c>
      <c r="Q5" s="236"/>
      <c r="R5" s="236"/>
      <c r="S5" s="236"/>
      <c r="T5" s="236"/>
      <c r="U5" s="236"/>
      <c r="V5" s="237"/>
      <c r="W5" s="235" t="s">
        <v>463</v>
      </c>
      <c r="X5" s="237"/>
    </row>
    <row r="6" spans="3:24" ht="11.25">
      <c r="C6" s="38"/>
      <c r="D6" s="127"/>
      <c r="E6" s="106"/>
      <c r="F6" s="116"/>
      <c r="G6" s="117" t="s">
        <v>0</v>
      </c>
      <c r="H6" s="63" t="s">
        <v>99</v>
      </c>
      <c r="I6" s="42" t="s">
        <v>99</v>
      </c>
      <c r="J6" s="42" t="s">
        <v>99</v>
      </c>
      <c r="K6" s="42" t="s">
        <v>235</v>
      </c>
      <c r="L6" s="42"/>
      <c r="M6" s="42"/>
      <c r="N6" s="42"/>
      <c r="O6" s="42"/>
      <c r="P6" s="42" t="s">
        <v>99</v>
      </c>
      <c r="Q6" s="42" t="s">
        <v>99</v>
      </c>
      <c r="R6" s="42" t="s">
        <v>99</v>
      </c>
      <c r="S6" s="42" t="s">
        <v>99</v>
      </c>
      <c r="T6" s="42" t="s">
        <v>99</v>
      </c>
      <c r="U6" s="42" t="s">
        <v>99</v>
      </c>
      <c r="V6" s="42" t="s">
        <v>99</v>
      </c>
      <c r="W6" s="42"/>
      <c r="X6" s="42"/>
    </row>
    <row r="7" spans="3:24" ht="11.25">
      <c r="C7" s="40"/>
      <c r="D7" s="64"/>
      <c r="E7" s="57"/>
      <c r="F7" s="118"/>
      <c r="G7" s="119" t="s">
        <v>1</v>
      </c>
      <c r="H7" s="113">
        <v>190</v>
      </c>
      <c r="I7" s="43">
        <v>190</v>
      </c>
      <c r="J7" s="43">
        <v>330</v>
      </c>
      <c r="K7" s="43">
        <v>330</v>
      </c>
      <c r="L7" s="42"/>
      <c r="M7" s="42"/>
      <c r="N7" s="42"/>
      <c r="O7" s="42"/>
      <c r="P7" s="42">
        <v>175</v>
      </c>
      <c r="Q7" s="42">
        <v>175</v>
      </c>
      <c r="R7" s="42">
        <v>175</v>
      </c>
      <c r="S7" s="42">
        <v>175</v>
      </c>
      <c r="T7" s="42">
        <v>175</v>
      </c>
      <c r="U7" s="42">
        <v>175</v>
      </c>
      <c r="V7" s="42">
        <v>175</v>
      </c>
      <c r="W7" s="42"/>
      <c r="X7" s="42"/>
    </row>
    <row r="8" spans="3:24" ht="11.25">
      <c r="C8" s="40"/>
      <c r="D8" s="64"/>
      <c r="E8" s="57"/>
      <c r="F8" s="118"/>
      <c r="G8" s="119" t="s">
        <v>2</v>
      </c>
      <c r="H8" s="63">
        <v>12</v>
      </c>
      <c r="I8" s="42">
        <v>20</v>
      </c>
      <c r="J8" s="45" t="s">
        <v>168</v>
      </c>
      <c r="K8" s="44" t="s">
        <v>167</v>
      </c>
      <c r="L8" s="44"/>
      <c r="M8" s="44"/>
      <c r="N8" s="44"/>
      <c r="O8" s="44"/>
      <c r="P8" s="44">
        <v>15</v>
      </c>
      <c r="Q8" s="44">
        <v>15</v>
      </c>
      <c r="R8" s="44">
        <v>15</v>
      </c>
      <c r="S8" s="44">
        <v>15</v>
      </c>
      <c r="T8" s="44">
        <v>10</v>
      </c>
      <c r="U8" s="44">
        <v>8</v>
      </c>
      <c r="V8" s="44">
        <v>5</v>
      </c>
      <c r="W8" s="44"/>
      <c r="X8" s="44"/>
    </row>
    <row r="9" spans="3:24" ht="11.25">
      <c r="C9" s="61"/>
      <c r="D9" s="128"/>
      <c r="E9" s="57">
        <f>COUNTIF($H9:X9,"&gt;=0")</f>
        <v>17</v>
      </c>
      <c r="F9" s="120"/>
      <c r="G9" s="121" t="s">
        <v>3</v>
      </c>
      <c r="H9" s="63">
        <v>0</v>
      </c>
      <c r="I9" s="42">
        <v>0</v>
      </c>
      <c r="J9" s="42">
        <v>0</v>
      </c>
      <c r="K9" s="42">
        <v>0</v>
      </c>
      <c r="L9" s="42">
        <v>5</v>
      </c>
      <c r="M9" s="42">
        <v>5</v>
      </c>
      <c r="N9" s="42">
        <v>4</v>
      </c>
      <c r="O9" s="42">
        <v>3</v>
      </c>
      <c r="P9" s="42">
        <v>7</v>
      </c>
      <c r="Q9" s="42">
        <v>6</v>
      </c>
      <c r="R9" s="42">
        <v>6</v>
      </c>
      <c r="S9" s="42">
        <v>5</v>
      </c>
      <c r="T9" s="42">
        <v>7</v>
      </c>
      <c r="U9" s="42">
        <v>7</v>
      </c>
      <c r="V9" s="42">
        <v>0</v>
      </c>
      <c r="W9" s="42">
        <v>4</v>
      </c>
      <c r="X9" s="42">
        <v>3</v>
      </c>
    </row>
    <row r="10" spans="3:24" ht="37.5">
      <c r="C10" s="42" t="s">
        <v>256</v>
      </c>
      <c r="D10" s="125" t="s">
        <v>227</v>
      </c>
      <c r="E10" s="37" t="s">
        <v>4</v>
      </c>
      <c r="F10" s="150" t="s">
        <v>5</v>
      </c>
      <c r="G10" s="152" t="s">
        <v>6</v>
      </c>
      <c r="H10" s="37">
        <v>38135</v>
      </c>
      <c r="I10" s="37">
        <v>38135</v>
      </c>
      <c r="J10" s="37">
        <v>38136</v>
      </c>
      <c r="K10" s="37">
        <v>38136</v>
      </c>
      <c r="L10" s="37">
        <v>38170</v>
      </c>
      <c r="M10" s="37">
        <v>38170</v>
      </c>
      <c r="N10" s="37">
        <v>38171</v>
      </c>
      <c r="O10" s="37">
        <v>38171</v>
      </c>
      <c r="P10" s="37">
        <v>38226</v>
      </c>
      <c r="Q10" s="37">
        <v>38226</v>
      </c>
      <c r="R10" s="37">
        <v>38226</v>
      </c>
      <c r="S10" s="37">
        <v>38226</v>
      </c>
      <c r="T10" s="37">
        <v>38227</v>
      </c>
      <c r="U10" s="37">
        <v>38227</v>
      </c>
      <c r="V10" s="37">
        <v>38227</v>
      </c>
      <c r="W10" s="37">
        <v>38269</v>
      </c>
      <c r="X10" s="37">
        <v>38269</v>
      </c>
    </row>
    <row r="11" spans="2:24" ht="11.25">
      <c r="B11" s="28">
        <v>1</v>
      </c>
      <c r="C11" s="39">
        <v>20</v>
      </c>
      <c r="D11" s="38" t="s">
        <v>568</v>
      </c>
      <c r="E11" s="213">
        <f aca="true" t="shared" si="0" ref="E11:E17">COUNTA(H11:X11)</f>
        <v>8</v>
      </c>
      <c r="F11" s="49">
        <v>0</v>
      </c>
      <c r="G11" s="215">
        <f>C_S_G($H11:X11,$H$9:X$9,csg_table,E$9,F11)</f>
        <v>0.9713603818615751</v>
      </c>
      <c r="H11" s="49"/>
      <c r="I11" s="49"/>
      <c r="J11" s="49"/>
      <c r="K11" s="49"/>
      <c r="L11" s="49">
        <v>1</v>
      </c>
      <c r="M11" s="49">
        <v>1</v>
      </c>
      <c r="N11" s="49">
        <v>1</v>
      </c>
      <c r="O11" s="49"/>
      <c r="P11" s="49">
        <v>1</v>
      </c>
      <c r="Q11" s="49"/>
      <c r="R11" s="49"/>
      <c r="S11" s="49"/>
      <c r="T11" s="49">
        <v>2</v>
      </c>
      <c r="U11" s="49">
        <v>1</v>
      </c>
      <c r="V11" s="49"/>
      <c r="W11" s="49">
        <v>1</v>
      </c>
      <c r="X11" s="49">
        <v>2</v>
      </c>
    </row>
    <row r="12" spans="2:24" ht="11.25">
      <c r="B12" s="28">
        <v>2</v>
      </c>
      <c r="C12" s="41">
        <v>22</v>
      </c>
      <c r="D12" s="40" t="s">
        <v>571</v>
      </c>
      <c r="E12" s="70">
        <f t="shared" si="0"/>
        <v>8</v>
      </c>
      <c r="F12" s="33">
        <v>0</v>
      </c>
      <c r="G12" s="216">
        <f>C_S_G($H12:X12,$H$9:X$9,csg_table,E$9,F12)</f>
        <v>0.8185654008438819</v>
      </c>
      <c r="H12" s="33"/>
      <c r="I12" s="33"/>
      <c r="J12" s="33"/>
      <c r="K12" s="33"/>
      <c r="L12" s="33">
        <v>3</v>
      </c>
      <c r="M12" s="33">
        <v>5</v>
      </c>
      <c r="N12" s="33"/>
      <c r="O12" s="33"/>
      <c r="P12" s="33">
        <v>3</v>
      </c>
      <c r="Q12" s="33">
        <v>1</v>
      </c>
      <c r="R12" s="33">
        <v>3</v>
      </c>
      <c r="S12" s="33">
        <v>1</v>
      </c>
      <c r="T12" s="33">
        <v>7</v>
      </c>
      <c r="U12" s="33">
        <v>5</v>
      </c>
      <c r="V12" s="33"/>
      <c r="W12" s="33"/>
      <c r="X12" s="33"/>
    </row>
    <row r="13" spans="2:24" ht="11.25">
      <c r="B13" s="28">
        <v>3</v>
      </c>
      <c r="C13" s="41">
        <v>12</v>
      </c>
      <c r="D13" s="40" t="s">
        <v>569</v>
      </c>
      <c r="E13" s="70">
        <f t="shared" si="0"/>
        <v>12</v>
      </c>
      <c r="F13" s="33">
        <v>0</v>
      </c>
      <c r="G13" s="216">
        <f>C_S_G($H13:X13,$H$9:X$9,csg_table,E$9,F13)</f>
        <v>0.8118971061093248</v>
      </c>
      <c r="H13" s="33"/>
      <c r="I13" s="33"/>
      <c r="J13" s="33"/>
      <c r="K13" s="33"/>
      <c r="L13" s="33">
        <v>2</v>
      </c>
      <c r="M13" s="33">
        <v>3</v>
      </c>
      <c r="N13" s="33">
        <v>3</v>
      </c>
      <c r="O13" s="33">
        <v>3</v>
      </c>
      <c r="P13" s="33">
        <v>4</v>
      </c>
      <c r="Q13" s="33">
        <v>5</v>
      </c>
      <c r="R13" s="33">
        <v>4</v>
      </c>
      <c r="S13" s="33">
        <v>3</v>
      </c>
      <c r="T13" s="33">
        <v>1</v>
      </c>
      <c r="U13" s="33">
        <v>3</v>
      </c>
      <c r="V13" s="33"/>
      <c r="W13" s="33">
        <v>2</v>
      </c>
      <c r="X13" s="33">
        <v>3</v>
      </c>
    </row>
    <row r="14" spans="2:24" ht="11.25">
      <c r="B14" s="28">
        <v>4</v>
      </c>
      <c r="C14" s="41">
        <v>17</v>
      </c>
      <c r="D14" s="40" t="s">
        <v>572</v>
      </c>
      <c r="E14" s="70">
        <f t="shared" si="0"/>
        <v>9</v>
      </c>
      <c r="F14" s="33">
        <v>0</v>
      </c>
      <c r="G14" s="216">
        <f>C_S_G($H14:X14,$H$9:X$9,csg_table,E$9,F14)</f>
        <v>0.7903225806451613</v>
      </c>
      <c r="H14" s="33"/>
      <c r="I14" s="33"/>
      <c r="J14" s="33"/>
      <c r="K14" s="33"/>
      <c r="L14" s="33">
        <v>4</v>
      </c>
      <c r="M14" s="33">
        <v>2</v>
      </c>
      <c r="N14" s="33">
        <v>2</v>
      </c>
      <c r="O14" s="33">
        <v>1</v>
      </c>
      <c r="P14" s="33">
        <v>5</v>
      </c>
      <c r="Q14" s="33">
        <v>3</v>
      </c>
      <c r="R14" s="33">
        <v>6</v>
      </c>
      <c r="S14" s="33"/>
      <c r="T14" s="33">
        <v>5</v>
      </c>
      <c r="U14" s="33">
        <v>4</v>
      </c>
      <c r="V14" s="33"/>
      <c r="W14" s="33"/>
      <c r="X14" s="33"/>
    </row>
    <row r="15" spans="2:24" ht="11.25">
      <c r="B15" s="28">
        <v>5</v>
      </c>
      <c r="C15" s="51">
        <v>10</v>
      </c>
      <c r="D15" s="61" t="s">
        <v>570</v>
      </c>
      <c r="E15" s="214">
        <f t="shared" si="0"/>
        <v>12</v>
      </c>
      <c r="F15" s="35">
        <v>0</v>
      </c>
      <c r="G15" s="217">
        <f>C_S_G($H15:X15,$H$9:X$9,csg_table,E$9,F15)</f>
        <v>0.7443729903536977</v>
      </c>
      <c r="H15" s="35"/>
      <c r="I15" s="35"/>
      <c r="J15" s="35"/>
      <c r="K15" s="35"/>
      <c r="L15" s="35">
        <v>5</v>
      </c>
      <c r="M15" s="35">
        <v>4</v>
      </c>
      <c r="N15" s="35">
        <v>4</v>
      </c>
      <c r="O15" s="35">
        <v>2</v>
      </c>
      <c r="P15" s="35">
        <v>6</v>
      </c>
      <c r="Q15" s="35">
        <v>4</v>
      </c>
      <c r="R15" s="35">
        <v>5</v>
      </c>
      <c r="S15" s="35">
        <v>5</v>
      </c>
      <c r="T15" s="35">
        <v>3</v>
      </c>
      <c r="U15" s="35">
        <v>6</v>
      </c>
      <c r="V15" s="35"/>
      <c r="W15" s="35">
        <v>3</v>
      </c>
      <c r="X15" s="35">
        <v>1</v>
      </c>
    </row>
    <row r="16" spans="3:24" ht="11.25">
      <c r="C16" s="39">
        <v>68</v>
      </c>
      <c r="D16" s="38" t="s">
        <v>573</v>
      </c>
      <c r="E16" s="213">
        <f t="shared" si="0"/>
        <v>6</v>
      </c>
      <c r="F16" s="49">
        <v>0</v>
      </c>
      <c r="G16" s="215">
        <f>C_S_G($H16:X16,$H$9:X$9,csg_table,E$9,F16)</f>
        <v>0.8378378378378378</v>
      </c>
      <c r="H16" s="49"/>
      <c r="I16" s="49"/>
      <c r="J16" s="49"/>
      <c r="K16" s="49"/>
      <c r="L16" s="49"/>
      <c r="M16" s="49"/>
      <c r="N16" s="49"/>
      <c r="O16" s="49"/>
      <c r="P16" s="49">
        <v>2</v>
      </c>
      <c r="Q16" s="49">
        <v>2</v>
      </c>
      <c r="R16" s="49">
        <v>1</v>
      </c>
      <c r="S16" s="49">
        <v>2</v>
      </c>
      <c r="T16" s="49">
        <v>6</v>
      </c>
      <c r="U16" s="49">
        <v>7</v>
      </c>
      <c r="V16" s="49"/>
      <c r="W16" s="49"/>
      <c r="X16" s="49"/>
    </row>
    <row r="17" spans="3:24" ht="11.25">
      <c r="C17" s="51">
        <v>28</v>
      </c>
      <c r="D17" s="61"/>
      <c r="E17" s="214">
        <f t="shared" si="0"/>
        <v>6</v>
      </c>
      <c r="F17" s="35">
        <v>0</v>
      </c>
      <c r="G17" s="217">
        <f>C_S_G($H17:X17,$H$9:X$9,csg_table,E$9,F17)</f>
        <v>0.7783783783783784</v>
      </c>
      <c r="H17" s="35"/>
      <c r="I17" s="35"/>
      <c r="J17" s="35"/>
      <c r="K17" s="35"/>
      <c r="L17" s="35"/>
      <c r="M17" s="35"/>
      <c r="N17" s="35"/>
      <c r="O17" s="35"/>
      <c r="P17" s="35">
        <v>7</v>
      </c>
      <c r="Q17" s="35">
        <v>6</v>
      </c>
      <c r="R17" s="35">
        <v>2</v>
      </c>
      <c r="S17" s="35">
        <v>4</v>
      </c>
      <c r="T17" s="35">
        <v>4</v>
      </c>
      <c r="U17" s="35">
        <v>2</v>
      </c>
      <c r="V17" s="35"/>
      <c r="W17" s="35"/>
      <c r="X17" s="35"/>
    </row>
    <row r="18" ht="10.5" customHeight="1"/>
    <row r="20" ht="11.25">
      <c r="D20" s="28" t="s">
        <v>536</v>
      </c>
    </row>
    <row r="21" ht="11.25">
      <c r="D21" s="28" t="s">
        <v>537</v>
      </c>
    </row>
    <row r="22" ht="11.25">
      <c r="D22" s="28" t="s">
        <v>538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29"/>
  <dimension ref="A1:Y32"/>
  <sheetViews>
    <sheetView zoomScalePageLayoutView="0" workbookViewId="0" topLeftCell="A1">
      <selection activeCell="K21" sqref="K21"/>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25" width="4.140625" style="28" customWidth="1"/>
    <col min="26" max="16384" width="9.140625" style="28" customWidth="1"/>
  </cols>
  <sheetData>
    <row r="1" ht="11.25">
      <c r="A1" s="28" t="s">
        <v>7</v>
      </c>
    </row>
    <row r="2" ht="11.25">
      <c r="D2" s="234" t="s">
        <v>574</v>
      </c>
    </row>
    <row r="3" ht="11.25">
      <c r="D3" s="28" t="s">
        <v>500</v>
      </c>
    </row>
    <row r="4" spans="8:25" ht="11.25">
      <c r="H4" s="29" t="s">
        <v>104</v>
      </c>
      <c r="I4" s="30"/>
      <c r="J4" s="30"/>
      <c r="K4" s="30"/>
      <c r="L4" s="30"/>
      <c r="M4" s="30"/>
      <c r="N4" s="30"/>
      <c r="O4" s="31"/>
      <c r="P4" s="50"/>
      <c r="Q4" s="50"/>
      <c r="R4" s="50"/>
      <c r="S4" s="50"/>
      <c r="T4" s="50"/>
      <c r="U4" s="50"/>
      <c r="V4" s="50"/>
      <c r="W4" s="30"/>
      <c r="X4" s="30"/>
      <c r="Y4" s="31"/>
    </row>
    <row r="5" spans="4:24" ht="11.25">
      <c r="D5" s="192"/>
      <c r="H5" s="235" t="s">
        <v>113</v>
      </c>
      <c r="I5" s="236"/>
      <c r="J5" s="236"/>
      <c r="K5" s="237"/>
      <c r="L5" s="236" t="s">
        <v>118</v>
      </c>
      <c r="M5" s="236"/>
      <c r="N5" s="236"/>
      <c r="O5" s="237"/>
      <c r="P5" s="235" t="s">
        <v>355</v>
      </c>
      <c r="Q5" s="236"/>
      <c r="R5" s="236"/>
      <c r="S5" s="236"/>
      <c r="T5" s="236"/>
      <c r="U5" s="236"/>
      <c r="V5" s="237"/>
      <c r="W5" s="235" t="s">
        <v>463</v>
      </c>
      <c r="X5" s="237"/>
    </row>
    <row r="6" spans="3:25" ht="11.25">
      <c r="C6" s="38"/>
      <c r="D6" s="127"/>
      <c r="E6" s="106"/>
      <c r="F6" s="116"/>
      <c r="G6" s="117" t="s">
        <v>0</v>
      </c>
      <c r="H6" s="63" t="s">
        <v>99</v>
      </c>
      <c r="I6" s="42" t="s">
        <v>99</v>
      </c>
      <c r="J6" s="42" t="s">
        <v>99</v>
      </c>
      <c r="K6" s="42" t="s">
        <v>235</v>
      </c>
      <c r="L6" s="42"/>
      <c r="M6" s="42"/>
      <c r="N6" s="42"/>
      <c r="O6" s="42"/>
      <c r="P6" s="42" t="s">
        <v>99</v>
      </c>
      <c r="Q6" s="42" t="s">
        <v>99</v>
      </c>
      <c r="R6" s="42" t="s">
        <v>99</v>
      </c>
      <c r="S6" s="42" t="s">
        <v>99</v>
      </c>
      <c r="T6" s="42" t="s">
        <v>99</v>
      </c>
      <c r="U6" s="42" t="s">
        <v>99</v>
      </c>
      <c r="V6" s="42" t="s">
        <v>99</v>
      </c>
      <c r="W6" s="42"/>
      <c r="X6" s="42"/>
      <c r="Y6" s="42"/>
    </row>
    <row r="7" spans="3:25" ht="11.25">
      <c r="C7" s="40"/>
      <c r="D7" s="64"/>
      <c r="E7" s="57"/>
      <c r="F7" s="118"/>
      <c r="G7" s="119" t="s">
        <v>1</v>
      </c>
      <c r="H7" s="113">
        <v>190</v>
      </c>
      <c r="I7" s="43">
        <v>190</v>
      </c>
      <c r="J7" s="43">
        <v>330</v>
      </c>
      <c r="K7" s="43">
        <v>330</v>
      </c>
      <c r="L7" s="42"/>
      <c r="M7" s="42"/>
      <c r="N7" s="42"/>
      <c r="O7" s="42"/>
      <c r="P7" s="42">
        <v>175</v>
      </c>
      <c r="Q7" s="42">
        <v>175</v>
      </c>
      <c r="R7" s="42">
        <v>175</v>
      </c>
      <c r="S7" s="42">
        <v>175</v>
      </c>
      <c r="T7" s="42">
        <v>175</v>
      </c>
      <c r="U7" s="42">
        <v>175</v>
      </c>
      <c r="V7" s="42">
        <v>175</v>
      </c>
      <c r="W7" s="42"/>
      <c r="X7" s="42"/>
      <c r="Y7" s="42"/>
    </row>
    <row r="8" spans="3:25" ht="11.25">
      <c r="C8" s="40"/>
      <c r="D8" s="64"/>
      <c r="E8" s="57"/>
      <c r="F8" s="118"/>
      <c r="G8" s="119" t="s">
        <v>2</v>
      </c>
      <c r="H8" s="63">
        <v>12</v>
      </c>
      <c r="I8" s="42">
        <v>20</v>
      </c>
      <c r="J8" s="45" t="s">
        <v>168</v>
      </c>
      <c r="K8" s="44" t="s">
        <v>167</v>
      </c>
      <c r="L8" s="44"/>
      <c r="M8" s="44"/>
      <c r="N8" s="44"/>
      <c r="O8" s="44"/>
      <c r="P8" s="44">
        <v>15</v>
      </c>
      <c r="Q8" s="44">
        <v>15</v>
      </c>
      <c r="R8" s="44">
        <v>15</v>
      </c>
      <c r="S8" s="44">
        <v>15</v>
      </c>
      <c r="T8" s="44">
        <v>10</v>
      </c>
      <c r="U8" s="44">
        <v>8</v>
      </c>
      <c r="V8" s="44">
        <v>5</v>
      </c>
      <c r="W8" s="44"/>
      <c r="X8" s="44"/>
      <c r="Y8" s="44"/>
    </row>
    <row r="9" spans="3:25" ht="11.25">
      <c r="C9" s="61"/>
      <c r="D9" s="128"/>
      <c r="E9" s="57">
        <f>COUNTIF($H9:Y9,"&gt;0")</f>
        <v>18</v>
      </c>
      <c r="F9" s="120"/>
      <c r="G9" s="121" t="s">
        <v>3</v>
      </c>
      <c r="H9" s="63">
        <v>7</v>
      </c>
      <c r="I9" s="42">
        <v>7</v>
      </c>
      <c r="J9" s="42">
        <v>9</v>
      </c>
      <c r="K9" s="42">
        <v>9</v>
      </c>
      <c r="L9" s="42">
        <v>8</v>
      </c>
      <c r="M9" s="42">
        <v>8</v>
      </c>
      <c r="N9" s="42">
        <v>8</v>
      </c>
      <c r="O9" s="42">
        <v>8</v>
      </c>
      <c r="P9" s="42">
        <v>10</v>
      </c>
      <c r="Q9" s="42">
        <v>10</v>
      </c>
      <c r="R9" s="42">
        <v>10</v>
      </c>
      <c r="S9" s="42">
        <v>10</v>
      </c>
      <c r="T9" s="42">
        <v>13</v>
      </c>
      <c r="U9" s="42">
        <v>13</v>
      </c>
      <c r="V9" s="42">
        <v>12</v>
      </c>
      <c r="W9" s="42">
        <v>8</v>
      </c>
      <c r="X9" s="42">
        <v>8</v>
      </c>
      <c r="Y9" s="42">
        <v>8</v>
      </c>
    </row>
    <row r="10" spans="3:25" ht="37.5">
      <c r="C10" s="42" t="s">
        <v>256</v>
      </c>
      <c r="D10" s="125" t="s">
        <v>227</v>
      </c>
      <c r="E10" s="37" t="s">
        <v>4</v>
      </c>
      <c r="F10" s="150" t="s">
        <v>5</v>
      </c>
      <c r="G10" s="152" t="s">
        <v>6</v>
      </c>
      <c r="H10" s="37">
        <v>38135</v>
      </c>
      <c r="I10" s="37">
        <v>38135</v>
      </c>
      <c r="J10" s="37">
        <v>38136</v>
      </c>
      <c r="K10" s="37">
        <v>38136</v>
      </c>
      <c r="L10" s="37">
        <v>38170</v>
      </c>
      <c r="M10" s="37">
        <v>38170</v>
      </c>
      <c r="N10" s="37">
        <v>38171</v>
      </c>
      <c r="O10" s="37">
        <v>38171</v>
      </c>
      <c r="P10" s="37">
        <v>38226</v>
      </c>
      <c r="Q10" s="37">
        <v>38226</v>
      </c>
      <c r="R10" s="37">
        <v>38226</v>
      </c>
      <c r="S10" s="37">
        <v>38226</v>
      </c>
      <c r="T10" s="37">
        <v>38227</v>
      </c>
      <c r="U10" s="37">
        <v>38227</v>
      </c>
      <c r="V10" s="37">
        <v>38227</v>
      </c>
      <c r="W10" s="37">
        <v>38269</v>
      </c>
      <c r="X10" s="37">
        <v>38269</v>
      </c>
      <c r="Y10" s="37">
        <v>38269</v>
      </c>
    </row>
    <row r="11" spans="2:25" ht="11.25">
      <c r="B11" s="28">
        <v>1</v>
      </c>
      <c r="C11" s="39">
        <v>1201</v>
      </c>
      <c r="D11" s="38" t="s">
        <v>575</v>
      </c>
      <c r="E11" s="213">
        <f aca="true" t="shared" si="0" ref="E11:E28">COUNTA(H11:Z11)</f>
        <v>18</v>
      </c>
      <c r="F11" s="49">
        <v>0</v>
      </c>
      <c r="G11" s="215">
        <f>C_S_G($H11:Z11,$H$9:Z$9,csg_table,E$9,F11)</f>
        <v>0.8429090909090909</v>
      </c>
      <c r="H11" s="49">
        <v>6</v>
      </c>
      <c r="I11" s="49">
        <v>2</v>
      </c>
      <c r="J11" s="49">
        <v>4</v>
      </c>
      <c r="K11" s="49">
        <v>2</v>
      </c>
      <c r="L11" s="49">
        <v>1</v>
      </c>
      <c r="M11" s="49">
        <v>7</v>
      </c>
      <c r="N11" s="49">
        <v>5</v>
      </c>
      <c r="O11" s="49">
        <v>4</v>
      </c>
      <c r="P11" s="49">
        <v>1</v>
      </c>
      <c r="Q11" s="49">
        <v>8</v>
      </c>
      <c r="R11" s="49">
        <v>4</v>
      </c>
      <c r="S11" s="49">
        <v>3</v>
      </c>
      <c r="T11" s="49">
        <v>3</v>
      </c>
      <c r="U11" s="49">
        <v>3</v>
      </c>
      <c r="V11" s="49">
        <v>3</v>
      </c>
      <c r="W11" s="49">
        <v>5</v>
      </c>
      <c r="X11" s="49">
        <v>4</v>
      </c>
      <c r="Y11" s="49">
        <v>3</v>
      </c>
    </row>
    <row r="12" spans="2:25" ht="11.25">
      <c r="B12" s="28">
        <v>2</v>
      </c>
      <c r="C12" s="41">
        <v>1248</v>
      </c>
      <c r="D12" s="40" t="s">
        <v>576</v>
      </c>
      <c r="E12" s="70">
        <f t="shared" si="0"/>
        <v>9</v>
      </c>
      <c r="F12" s="33">
        <v>0</v>
      </c>
      <c r="G12" s="216">
        <f>C_S_G($H12:Z12,$H$9:Z$9,csg_table,E$9,F12)</f>
        <v>0.8291925465838509</v>
      </c>
      <c r="H12" s="33">
        <v>3</v>
      </c>
      <c r="I12" s="33">
        <v>3</v>
      </c>
      <c r="J12" s="33">
        <v>2</v>
      </c>
      <c r="K12" s="33">
        <v>5</v>
      </c>
      <c r="L12" s="33"/>
      <c r="M12" s="33"/>
      <c r="N12" s="33">
        <v>8</v>
      </c>
      <c r="O12" s="33">
        <v>3</v>
      </c>
      <c r="P12" s="33"/>
      <c r="Q12" s="33"/>
      <c r="R12" s="33"/>
      <c r="S12" s="33"/>
      <c r="T12" s="33"/>
      <c r="U12" s="33"/>
      <c r="V12" s="33"/>
      <c r="W12" s="33">
        <v>2</v>
      </c>
      <c r="X12" s="33">
        <v>3</v>
      </c>
      <c r="Y12" s="33">
        <v>5</v>
      </c>
    </row>
    <row r="13" spans="2:25" ht="11.25">
      <c r="B13" s="28">
        <v>3</v>
      </c>
      <c r="C13" s="41">
        <v>1222</v>
      </c>
      <c r="D13" s="40" t="s">
        <v>577</v>
      </c>
      <c r="E13" s="70">
        <f t="shared" si="0"/>
        <v>18</v>
      </c>
      <c r="F13" s="33">
        <v>0</v>
      </c>
      <c r="G13" s="216">
        <f>C_S_G($H13:Z13,$H$9:Z$9,csg_table,E$9,F13)</f>
        <v>0.8121827411167513</v>
      </c>
      <c r="H13" s="33">
        <v>7</v>
      </c>
      <c r="I13" s="33">
        <v>5</v>
      </c>
      <c r="J13" s="33">
        <v>6</v>
      </c>
      <c r="K13" s="33">
        <v>6</v>
      </c>
      <c r="L13" s="33">
        <v>7</v>
      </c>
      <c r="M13" s="33">
        <v>2</v>
      </c>
      <c r="N13" s="33">
        <v>4</v>
      </c>
      <c r="O13" s="33">
        <v>1</v>
      </c>
      <c r="P13" s="33">
        <v>4</v>
      </c>
      <c r="Q13" s="33">
        <v>2</v>
      </c>
      <c r="R13" s="33" t="s">
        <v>324</v>
      </c>
      <c r="S13" s="33">
        <v>1</v>
      </c>
      <c r="T13" s="33">
        <v>7</v>
      </c>
      <c r="U13" s="33">
        <v>1</v>
      </c>
      <c r="V13" s="33">
        <v>8</v>
      </c>
      <c r="W13" s="33">
        <v>7</v>
      </c>
      <c r="X13" s="33">
        <v>1</v>
      </c>
      <c r="Y13" s="33">
        <v>7</v>
      </c>
    </row>
    <row r="14" spans="2:25" ht="11.25">
      <c r="B14" s="28">
        <v>4</v>
      </c>
      <c r="C14" s="41">
        <v>62</v>
      </c>
      <c r="D14" s="40" t="s">
        <v>578</v>
      </c>
      <c r="E14" s="70">
        <f t="shared" si="0"/>
        <v>18</v>
      </c>
      <c r="F14" s="33">
        <v>0</v>
      </c>
      <c r="G14" s="216">
        <f>C_S_G($H14:Z14,$H$9:Z$9,csg_table,E$9,F14)</f>
        <v>0.808</v>
      </c>
      <c r="H14" s="33">
        <v>5</v>
      </c>
      <c r="I14" s="33">
        <v>4</v>
      </c>
      <c r="J14" s="33">
        <v>5</v>
      </c>
      <c r="K14" s="33">
        <v>4</v>
      </c>
      <c r="L14" s="33">
        <v>4</v>
      </c>
      <c r="M14" s="33">
        <v>8</v>
      </c>
      <c r="N14" s="33">
        <v>3</v>
      </c>
      <c r="O14" s="33">
        <v>6</v>
      </c>
      <c r="P14" s="33">
        <v>2</v>
      </c>
      <c r="Q14" s="33">
        <v>4</v>
      </c>
      <c r="R14" s="33">
        <v>7</v>
      </c>
      <c r="S14" s="33">
        <v>2</v>
      </c>
      <c r="T14" s="33">
        <v>4</v>
      </c>
      <c r="U14" s="33">
        <v>6</v>
      </c>
      <c r="V14" s="33">
        <v>1</v>
      </c>
      <c r="W14" s="33">
        <v>6</v>
      </c>
      <c r="X14" s="33">
        <v>6</v>
      </c>
      <c r="Y14" s="33">
        <v>4</v>
      </c>
    </row>
    <row r="15" spans="2:25" ht="11.25">
      <c r="B15" s="28">
        <v>5</v>
      </c>
      <c r="C15" s="41">
        <v>1209</v>
      </c>
      <c r="D15" s="40" t="s">
        <v>579</v>
      </c>
      <c r="E15" s="70">
        <f t="shared" si="0"/>
        <v>18</v>
      </c>
      <c r="F15" s="33">
        <v>0</v>
      </c>
      <c r="G15" s="216">
        <f>C_S_G($H15:Z15,$H$9:Z$9,csg_table,E$9,F15)</f>
        <v>0.7941818181818182</v>
      </c>
      <c r="H15" s="33">
        <v>2</v>
      </c>
      <c r="I15" s="33">
        <v>7</v>
      </c>
      <c r="J15" s="33">
        <v>3</v>
      </c>
      <c r="K15" s="33">
        <v>3</v>
      </c>
      <c r="L15" s="33">
        <v>6</v>
      </c>
      <c r="M15" s="33">
        <v>1</v>
      </c>
      <c r="N15" s="33">
        <v>2</v>
      </c>
      <c r="O15" s="33">
        <v>5</v>
      </c>
      <c r="P15" s="33">
        <v>9</v>
      </c>
      <c r="Q15" s="33">
        <v>5</v>
      </c>
      <c r="R15" s="33">
        <v>8</v>
      </c>
      <c r="S15" s="33">
        <v>9</v>
      </c>
      <c r="T15" s="33">
        <v>6</v>
      </c>
      <c r="U15" s="33">
        <v>4</v>
      </c>
      <c r="V15" s="33">
        <v>4</v>
      </c>
      <c r="W15" s="33">
        <v>4</v>
      </c>
      <c r="X15" s="33">
        <v>5</v>
      </c>
      <c r="Y15" s="33">
        <v>6</v>
      </c>
    </row>
    <row r="16" spans="2:25" ht="11.25">
      <c r="B16" s="28">
        <v>6</v>
      </c>
      <c r="C16" s="41">
        <v>427</v>
      </c>
      <c r="D16" s="40" t="s">
        <v>580</v>
      </c>
      <c r="E16" s="70">
        <f t="shared" si="0"/>
        <v>14</v>
      </c>
      <c r="F16" s="33">
        <v>0</v>
      </c>
      <c r="G16" s="216">
        <f>C_S_G($H16:Z16,$H$9:Z$9,csg_table,E$9,F16)</f>
        <v>0.7345971563981043</v>
      </c>
      <c r="H16" s="33">
        <v>4</v>
      </c>
      <c r="I16" s="33">
        <v>6</v>
      </c>
      <c r="J16" s="33">
        <v>9</v>
      </c>
      <c r="K16" s="33">
        <v>8</v>
      </c>
      <c r="L16" s="33">
        <v>2</v>
      </c>
      <c r="M16" s="33">
        <v>4</v>
      </c>
      <c r="N16" s="33">
        <v>7</v>
      </c>
      <c r="O16" s="33">
        <v>8</v>
      </c>
      <c r="P16" s="33"/>
      <c r="Q16" s="33"/>
      <c r="R16" s="33"/>
      <c r="S16" s="33"/>
      <c r="T16" s="33">
        <v>2</v>
      </c>
      <c r="U16" s="33">
        <v>7</v>
      </c>
      <c r="V16" s="33">
        <v>12</v>
      </c>
      <c r="W16" s="33">
        <v>8</v>
      </c>
      <c r="X16" s="33">
        <v>7</v>
      </c>
      <c r="Y16" s="33">
        <v>8</v>
      </c>
    </row>
    <row r="17" spans="2:25" ht="11.25">
      <c r="B17" s="28">
        <v>7</v>
      </c>
      <c r="C17" s="41">
        <v>1159</v>
      </c>
      <c r="D17" s="40"/>
      <c r="E17" s="70">
        <f t="shared" si="0"/>
        <v>9</v>
      </c>
      <c r="F17" s="33">
        <v>0</v>
      </c>
      <c r="G17" s="216">
        <f>C_S_G($H17:Z17,$H$9:Z$9,csg_table,E$9,F17)</f>
        <v>0.7306122448979592</v>
      </c>
      <c r="H17" s="33"/>
      <c r="I17" s="33"/>
      <c r="J17" s="33"/>
      <c r="K17" s="33"/>
      <c r="L17" s="33">
        <v>3</v>
      </c>
      <c r="M17" s="33">
        <v>6</v>
      </c>
      <c r="N17" s="33"/>
      <c r="O17" s="33"/>
      <c r="P17" s="33" t="s">
        <v>103</v>
      </c>
      <c r="Q17" s="33">
        <v>10</v>
      </c>
      <c r="R17" s="33">
        <v>9</v>
      </c>
      <c r="S17" s="33">
        <v>8</v>
      </c>
      <c r="T17" s="33">
        <v>10</v>
      </c>
      <c r="U17" s="33">
        <v>9</v>
      </c>
      <c r="V17" s="33">
        <v>2</v>
      </c>
      <c r="W17" s="33"/>
      <c r="X17" s="33"/>
      <c r="Y17" s="33"/>
    </row>
    <row r="18" spans="2:25" ht="11.25">
      <c r="B18" s="28">
        <v>8</v>
      </c>
      <c r="C18" s="51">
        <v>188</v>
      </c>
      <c r="D18" s="61"/>
      <c r="E18" s="214">
        <f t="shared" si="0"/>
        <v>11</v>
      </c>
      <c r="F18" s="35">
        <v>0</v>
      </c>
      <c r="G18" s="217">
        <f>C_S_G($H18:Z18,$H$9:Z$9,csg_table,E$9,F18)</f>
        <v>0.6942242355605889</v>
      </c>
      <c r="H18" s="35"/>
      <c r="I18" s="35"/>
      <c r="J18" s="35">
        <v>8</v>
      </c>
      <c r="K18" s="35">
        <v>9</v>
      </c>
      <c r="L18" s="35">
        <v>8</v>
      </c>
      <c r="M18" s="35">
        <v>5</v>
      </c>
      <c r="N18" s="35"/>
      <c r="O18" s="35"/>
      <c r="P18" s="35">
        <v>5</v>
      </c>
      <c r="Q18" s="35">
        <v>9</v>
      </c>
      <c r="R18" s="35">
        <v>10</v>
      </c>
      <c r="S18" s="35">
        <v>7</v>
      </c>
      <c r="T18" s="35">
        <v>9</v>
      </c>
      <c r="U18" s="35">
        <v>13</v>
      </c>
      <c r="V18" s="35">
        <v>9</v>
      </c>
      <c r="W18" s="35"/>
      <c r="X18" s="35"/>
      <c r="Y18" s="35"/>
    </row>
    <row r="19" spans="3:25" ht="11.25">
      <c r="C19" s="39">
        <v>1153</v>
      </c>
      <c r="D19" s="38"/>
      <c r="E19" s="213">
        <f t="shared" si="0"/>
        <v>7</v>
      </c>
      <c r="F19" s="49">
        <v>0</v>
      </c>
      <c r="G19" s="215">
        <f>C_S_G($H19:Z19,$H$9:Z$9,csg_table,E$9,F19)</f>
        <v>0.868824531516184</v>
      </c>
      <c r="H19" s="49"/>
      <c r="I19" s="49"/>
      <c r="J19" s="49"/>
      <c r="K19" s="49"/>
      <c r="L19" s="49"/>
      <c r="M19" s="49"/>
      <c r="N19" s="49"/>
      <c r="O19" s="49"/>
      <c r="P19" s="49">
        <v>3</v>
      </c>
      <c r="Q19" s="49">
        <v>3</v>
      </c>
      <c r="R19" s="49">
        <v>1</v>
      </c>
      <c r="S19" s="49">
        <v>3</v>
      </c>
      <c r="T19" s="49">
        <v>1</v>
      </c>
      <c r="U19" s="49">
        <v>5</v>
      </c>
      <c r="V19" s="49">
        <v>11</v>
      </c>
      <c r="W19" s="49"/>
      <c r="X19" s="49"/>
      <c r="Y19" s="49"/>
    </row>
    <row r="20" spans="3:25" ht="11.25">
      <c r="C20" s="41">
        <v>1012</v>
      </c>
      <c r="D20" s="40"/>
      <c r="E20" s="70">
        <f t="shared" si="0"/>
        <v>7</v>
      </c>
      <c r="F20" s="33">
        <v>0</v>
      </c>
      <c r="G20" s="216">
        <f>C_S_G($H20:Z20,$H$9:Z$9,csg_table,E$9,F20)</f>
        <v>0.8160136286201022</v>
      </c>
      <c r="H20" s="33"/>
      <c r="I20" s="33"/>
      <c r="J20" s="33"/>
      <c r="K20" s="33"/>
      <c r="L20" s="33"/>
      <c r="M20" s="33"/>
      <c r="N20" s="33"/>
      <c r="O20" s="33"/>
      <c r="P20" s="33">
        <v>8</v>
      </c>
      <c r="Q20" s="33">
        <v>1</v>
      </c>
      <c r="R20" s="33">
        <v>2</v>
      </c>
      <c r="S20" s="33">
        <v>5</v>
      </c>
      <c r="T20" s="33">
        <v>5</v>
      </c>
      <c r="U20" s="33">
        <v>8</v>
      </c>
      <c r="V20" s="33">
        <v>6</v>
      </c>
      <c r="W20" s="33"/>
      <c r="X20" s="33"/>
      <c r="Y20" s="33"/>
    </row>
    <row r="21" spans="3:25" ht="11.25">
      <c r="C21" s="41">
        <v>880</v>
      </c>
      <c r="D21" s="40"/>
      <c r="E21" s="70">
        <f t="shared" si="0"/>
        <v>7</v>
      </c>
      <c r="F21" s="33">
        <v>0</v>
      </c>
      <c r="G21" s="216">
        <f>C_S_G($H21:Z21,$H$9:Z$9,csg_table,E$9,F21)</f>
        <v>0.7819420783645656</v>
      </c>
      <c r="H21" s="33"/>
      <c r="I21" s="33"/>
      <c r="J21" s="33"/>
      <c r="K21" s="33"/>
      <c r="L21" s="33"/>
      <c r="M21" s="33"/>
      <c r="N21" s="33"/>
      <c r="O21" s="33"/>
      <c r="P21" s="33">
        <v>6</v>
      </c>
      <c r="Q21" s="33">
        <v>7</v>
      </c>
      <c r="R21" s="33">
        <v>3</v>
      </c>
      <c r="S21" s="33">
        <v>4</v>
      </c>
      <c r="T21" s="33">
        <v>11</v>
      </c>
      <c r="U21" s="33">
        <v>2</v>
      </c>
      <c r="V21" s="33">
        <v>10</v>
      </c>
      <c r="W21" s="33"/>
      <c r="X21" s="33"/>
      <c r="Y21" s="33"/>
    </row>
    <row r="22" spans="3:25" ht="11.25">
      <c r="C22" s="41">
        <v>446</v>
      </c>
      <c r="D22" s="40"/>
      <c r="E22" s="70">
        <f t="shared" si="0"/>
        <v>7</v>
      </c>
      <c r="F22" s="33">
        <v>0</v>
      </c>
      <c r="G22" s="216">
        <f>C_S_G($H22:Z22,$H$9:Z$9,csg_table,E$9,F22)</f>
        <v>0.7103918228279387</v>
      </c>
      <c r="H22" s="33"/>
      <c r="I22" s="33"/>
      <c r="J22" s="33"/>
      <c r="K22" s="33"/>
      <c r="L22" s="33"/>
      <c r="M22" s="33"/>
      <c r="N22" s="33"/>
      <c r="O22" s="33"/>
      <c r="P22" s="33">
        <v>7</v>
      </c>
      <c r="Q22" s="33">
        <v>6</v>
      </c>
      <c r="R22" s="33">
        <v>6</v>
      </c>
      <c r="S22" s="33">
        <v>6</v>
      </c>
      <c r="T22" s="33">
        <v>13</v>
      </c>
      <c r="U22" s="33">
        <v>12</v>
      </c>
      <c r="V22" s="33">
        <v>7</v>
      </c>
      <c r="W22" s="33"/>
      <c r="X22" s="33"/>
      <c r="Y22" s="33"/>
    </row>
    <row r="23" spans="3:25" ht="11.25">
      <c r="C23" s="41">
        <v>1303</v>
      </c>
      <c r="D23" s="40"/>
      <c r="E23" s="70">
        <f t="shared" si="0"/>
        <v>7</v>
      </c>
      <c r="F23" s="33">
        <v>0</v>
      </c>
      <c r="G23" s="216">
        <f>C_S_G($H23:Z23,$H$9:Z$9,csg_table,E$9,F23)</f>
        <v>0.9552845528455285</v>
      </c>
      <c r="H23" s="33">
        <v>1</v>
      </c>
      <c r="I23" s="33">
        <v>1</v>
      </c>
      <c r="J23" s="33"/>
      <c r="K23" s="33"/>
      <c r="L23" s="33"/>
      <c r="M23" s="33"/>
      <c r="N23" s="33">
        <v>1</v>
      </c>
      <c r="O23" s="33">
        <v>2</v>
      </c>
      <c r="P23" s="33"/>
      <c r="Q23" s="33"/>
      <c r="R23" s="33"/>
      <c r="S23" s="33"/>
      <c r="T23" s="33"/>
      <c r="U23" s="33"/>
      <c r="V23" s="33"/>
      <c r="W23" s="33">
        <v>3</v>
      </c>
      <c r="X23" s="33">
        <v>2</v>
      </c>
      <c r="Y23" s="33">
        <v>1</v>
      </c>
    </row>
    <row r="24" spans="3:25" ht="11.25">
      <c r="C24" s="41">
        <v>1074</v>
      </c>
      <c r="D24" s="40"/>
      <c r="E24" s="70">
        <f t="shared" si="0"/>
        <v>7</v>
      </c>
      <c r="F24" s="33">
        <v>0</v>
      </c>
      <c r="G24" s="216">
        <f>C_S_G($H24:Z24,$H$9:Z$9,csg_table,E$9,F24)</f>
        <v>0.8035714285714286</v>
      </c>
      <c r="H24" s="33"/>
      <c r="I24" s="33"/>
      <c r="J24" s="33"/>
      <c r="K24" s="33"/>
      <c r="L24" s="33">
        <v>5</v>
      </c>
      <c r="M24" s="33">
        <v>3</v>
      </c>
      <c r="N24" s="33">
        <v>6</v>
      </c>
      <c r="O24" s="33">
        <v>7</v>
      </c>
      <c r="P24" s="33"/>
      <c r="Q24" s="33"/>
      <c r="R24" s="33"/>
      <c r="S24" s="33"/>
      <c r="T24" s="33"/>
      <c r="U24" s="33"/>
      <c r="V24" s="33"/>
      <c r="W24" s="33">
        <v>1</v>
      </c>
      <c r="X24" s="33">
        <v>8</v>
      </c>
      <c r="Y24" s="33">
        <v>2</v>
      </c>
    </row>
    <row r="25" spans="3:25" ht="11.25">
      <c r="C25" s="41">
        <v>1212</v>
      </c>
      <c r="D25" s="40"/>
      <c r="E25" s="70">
        <f t="shared" si="0"/>
        <v>3</v>
      </c>
      <c r="F25" s="33">
        <f>MIN(INT(E25/10),3)</f>
        <v>0</v>
      </c>
      <c r="G25" s="216">
        <f>C_S_G($H25:Z25,$H$9:Z$9,csg_table,E$9,F25)</f>
        <v>0.7415730337078652</v>
      </c>
      <c r="H25" s="33"/>
      <c r="I25" s="33"/>
      <c r="J25" s="33"/>
      <c r="K25" s="33"/>
      <c r="L25" s="33"/>
      <c r="M25" s="33"/>
      <c r="N25" s="33"/>
      <c r="O25" s="33"/>
      <c r="P25" s="33"/>
      <c r="Q25" s="33"/>
      <c r="R25" s="33"/>
      <c r="S25" s="33"/>
      <c r="T25" s="33">
        <v>8</v>
      </c>
      <c r="U25" s="33">
        <v>10</v>
      </c>
      <c r="V25" s="33">
        <v>5</v>
      </c>
      <c r="W25" s="33"/>
      <c r="X25" s="33"/>
      <c r="Y25" s="33"/>
    </row>
    <row r="26" spans="3:25" ht="11.25">
      <c r="C26" s="41">
        <v>1206</v>
      </c>
      <c r="D26" s="40"/>
      <c r="E26" s="70">
        <f t="shared" si="0"/>
        <v>2</v>
      </c>
      <c r="F26" s="33">
        <v>0</v>
      </c>
      <c r="G26" s="216">
        <f>C_S_G($H26:Z26,$H$9:Z$9,csg_table,E$9,F26)</f>
        <v>0.6555555555555556</v>
      </c>
      <c r="H26" s="33"/>
      <c r="I26" s="33"/>
      <c r="J26" s="33"/>
      <c r="K26" s="33"/>
      <c r="L26" s="33"/>
      <c r="M26" s="33"/>
      <c r="N26" s="33"/>
      <c r="O26" s="33"/>
      <c r="P26" s="33"/>
      <c r="Q26" s="33"/>
      <c r="R26" s="33"/>
      <c r="S26" s="33"/>
      <c r="T26" s="33">
        <v>12</v>
      </c>
      <c r="U26" s="33">
        <v>11</v>
      </c>
      <c r="V26" s="33"/>
      <c r="W26" s="33"/>
      <c r="X26" s="33"/>
      <c r="Y26" s="33"/>
    </row>
    <row r="27" spans="3:25" ht="11.25">
      <c r="C27" s="41">
        <v>1073</v>
      </c>
      <c r="D27" s="40"/>
      <c r="E27" s="70">
        <f t="shared" si="0"/>
        <v>2</v>
      </c>
      <c r="F27" s="33">
        <f>MIN(INT(E27/10),3)</f>
        <v>0</v>
      </c>
      <c r="G27" s="216">
        <f>C_S_G($H27:Z27,$H$9:Z$9,csg_table,E$9,F27)</f>
        <v>1</v>
      </c>
      <c r="H27" s="33"/>
      <c r="I27" s="33"/>
      <c r="J27" s="33">
        <v>1</v>
      </c>
      <c r="K27" s="33">
        <v>1</v>
      </c>
      <c r="L27" s="33"/>
      <c r="M27" s="33"/>
      <c r="N27" s="33"/>
      <c r="O27" s="33"/>
      <c r="P27" s="33"/>
      <c r="Q27" s="33"/>
      <c r="R27" s="33"/>
      <c r="S27" s="33"/>
      <c r="T27" s="33"/>
      <c r="U27" s="33"/>
      <c r="V27" s="33"/>
      <c r="W27" s="33"/>
      <c r="X27" s="33"/>
      <c r="Y27" s="33"/>
    </row>
    <row r="28" spans="3:25" ht="11.25">
      <c r="C28" s="51">
        <v>1263</v>
      </c>
      <c r="D28" s="61"/>
      <c r="E28" s="214">
        <f t="shared" si="0"/>
        <v>2</v>
      </c>
      <c r="F28" s="35">
        <f>MIN(INT(E28/10),3)</f>
        <v>0</v>
      </c>
      <c r="G28" s="217">
        <f>C_S_G($H28:Z28,$H$9:Z$9,csg_table,E$9,F28)</f>
        <v>0.7105263157894737</v>
      </c>
      <c r="H28" s="35"/>
      <c r="I28" s="35"/>
      <c r="J28" s="35">
        <v>7</v>
      </c>
      <c r="K28" s="35">
        <v>7</v>
      </c>
      <c r="L28" s="35"/>
      <c r="M28" s="35"/>
      <c r="N28" s="35"/>
      <c r="O28" s="35"/>
      <c r="P28" s="35"/>
      <c r="Q28" s="35"/>
      <c r="R28" s="35"/>
      <c r="S28" s="35"/>
      <c r="T28" s="35"/>
      <c r="U28" s="35"/>
      <c r="V28" s="35"/>
      <c r="W28" s="35"/>
      <c r="X28" s="35"/>
      <c r="Y28" s="35"/>
    </row>
    <row r="30" ht="11.25">
      <c r="D30" s="28" t="s">
        <v>536</v>
      </c>
    </row>
    <row r="31" ht="11.25">
      <c r="D31" s="28" t="s">
        <v>537</v>
      </c>
    </row>
    <row r="32" ht="11.25">
      <c r="D32" s="28" t="s">
        <v>538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30"/>
  <dimension ref="A1:X23"/>
  <sheetViews>
    <sheetView zoomScalePageLayoutView="0" workbookViewId="0" topLeftCell="A1">
      <selection activeCell="A1" sqref="A1:IV16384"/>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24" width="4.140625" style="28" customWidth="1"/>
    <col min="25" max="16384" width="9.140625" style="28" customWidth="1"/>
  </cols>
  <sheetData>
    <row r="1" ht="11.25">
      <c r="A1" s="28" t="s">
        <v>7</v>
      </c>
    </row>
    <row r="2" ht="11.25">
      <c r="D2" s="234" t="s">
        <v>559</v>
      </c>
    </row>
    <row r="3" ht="11.25">
      <c r="D3" s="28" t="s">
        <v>500</v>
      </c>
    </row>
    <row r="4" spans="8:24" ht="11.25">
      <c r="H4" s="29"/>
      <c r="I4" s="30"/>
      <c r="J4" s="30"/>
      <c r="K4" s="30"/>
      <c r="L4" s="30"/>
      <c r="M4" s="30"/>
      <c r="N4" s="30"/>
      <c r="O4" s="31"/>
      <c r="P4" s="50"/>
      <c r="Q4" s="50"/>
      <c r="R4" s="50"/>
      <c r="S4" s="50"/>
      <c r="T4" s="50"/>
      <c r="U4" s="50"/>
      <c r="V4" s="50"/>
      <c r="W4" s="30"/>
      <c r="X4" s="31"/>
    </row>
    <row r="5" spans="4:24" ht="11.25">
      <c r="D5" s="192"/>
      <c r="H5" s="235" t="s">
        <v>113</v>
      </c>
      <c r="I5" s="236"/>
      <c r="J5" s="236"/>
      <c r="K5" s="237"/>
      <c r="L5" s="236" t="s">
        <v>118</v>
      </c>
      <c r="M5" s="236"/>
      <c r="N5" s="236"/>
      <c r="O5" s="237"/>
      <c r="P5" s="235" t="s">
        <v>355</v>
      </c>
      <c r="Q5" s="236"/>
      <c r="R5" s="236"/>
      <c r="S5" s="236"/>
      <c r="T5" s="236"/>
      <c r="U5" s="236"/>
      <c r="V5" s="237"/>
      <c r="W5" s="235" t="s">
        <v>463</v>
      </c>
      <c r="X5" s="237"/>
    </row>
    <row r="6" spans="3:24" ht="11.25">
      <c r="C6" s="38"/>
      <c r="D6" s="127"/>
      <c r="E6" s="106"/>
      <c r="F6" s="116"/>
      <c r="G6" s="117" t="s">
        <v>0</v>
      </c>
      <c r="H6" s="63" t="s">
        <v>99</v>
      </c>
      <c r="I6" s="42" t="s">
        <v>99</v>
      </c>
      <c r="J6" s="42" t="s">
        <v>99</v>
      </c>
      <c r="K6" s="42" t="s">
        <v>235</v>
      </c>
      <c r="L6" s="42"/>
      <c r="M6" s="42"/>
      <c r="N6" s="42"/>
      <c r="O6" s="42"/>
      <c r="P6" s="42" t="s">
        <v>99</v>
      </c>
      <c r="Q6" s="42" t="s">
        <v>99</v>
      </c>
      <c r="R6" s="42" t="s">
        <v>99</v>
      </c>
      <c r="S6" s="42" t="s">
        <v>99</v>
      </c>
      <c r="T6" s="42" t="s">
        <v>99</v>
      </c>
      <c r="U6" s="42" t="s">
        <v>99</v>
      </c>
      <c r="V6" s="42" t="s">
        <v>99</v>
      </c>
      <c r="W6" s="42"/>
      <c r="X6" s="42"/>
    </row>
    <row r="7" spans="3:24" ht="11.25">
      <c r="C7" s="40"/>
      <c r="D7" s="64"/>
      <c r="E7" s="57"/>
      <c r="F7" s="118"/>
      <c r="G7" s="119" t="s">
        <v>1</v>
      </c>
      <c r="H7" s="113">
        <v>190</v>
      </c>
      <c r="I7" s="43">
        <v>190</v>
      </c>
      <c r="J7" s="43">
        <v>330</v>
      </c>
      <c r="K7" s="43">
        <v>330</v>
      </c>
      <c r="L7" s="42"/>
      <c r="M7" s="42"/>
      <c r="N7" s="42"/>
      <c r="O7" s="42"/>
      <c r="P7" s="42">
        <v>175</v>
      </c>
      <c r="Q7" s="42">
        <v>175</v>
      </c>
      <c r="R7" s="42">
        <v>175</v>
      </c>
      <c r="S7" s="42">
        <v>175</v>
      </c>
      <c r="T7" s="42">
        <v>175</v>
      </c>
      <c r="U7" s="42">
        <v>175</v>
      </c>
      <c r="V7" s="42">
        <v>175</v>
      </c>
      <c r="W7" s="42"/>
      <c r="X7" s="42"/>
    </row>
    <row r="8" spans="3:24" ht="11.25">
      <c r="C8" s="40"/>
      <c r="D8" s="64"/>
      <c r="E8" s="57"/>
      <c r="F8" s="118"/>
      <c r="G8" s="119" t="s">
        <v>2</v>
      </c>
      <c r="H8" s="63">
        <v>12</v>
      </c>
      <c r="I8" s="42">
        <v>20</v>
      </c>
      <c r="J8" s="45" t="s">
        <v>168</v>
      </c>
      <c r="K8" s="44" t="s">
        <v>167</v>
      </c>
      <c r="L8" s="44"/>
      <c r="M8" s="44"/>
      <c r="N8" s="44"/>
      <c r="O8" s="44"/>
      <c r="P8" s="44">
        <v>15</v>
      </c>
      <c r="Q8" s="44">
        <v>15</v>
      </c>
      <c r="R8" s="44">
        <v>15</v>
      </c>
      <c r="S8" s="44">
        <v>15</v>
      </c>
      <c r="T8" s="44">
        <v>10</v>
      </c>
      <c r="U8" s="44">
        <v>8</v>
      </c>
      <c r="V8" s="44">
        <v>5</v>
      </c>
      <c r="W8" s="44"/>
      <c r="X8" s="44"/>
    </row>
    <row r="9" spans="3:24" ht="11.25">
      <c r="C9" s="61"/>
      <c r="D9" s="128"/>
      <c r="E9" s="57">
        <f>COUNTIF($H9:X9,"&gt;0")</f>
        <v>17</v>
      </c>
      <c r="F9" s="120"/>
      <c r="G9" s="121" t="s">
        <v>3</v>
      </c>
      <c r="H9" s="63">
        <v>3</v>
      </c>
      <c r="I9" s="42">
        <v>3</v>
      </c>
      <c r="J9" s="42">
        <v>4</v>
      </c>
      <c r="K9" s="42">
        <v>4</v>
      </c>
      <c r="L9" s="42">
        <v>4</v>
      </c>
      <c r="M9" s="42">
        <v>4</v>
      </c>
      <c r="N9" s="42">
        <v>3</v>
      </c>
      <c r="O9" s="42">
        <v>3</v>
      </c>
      <c r="P9" s="42">
        <v>4</v>
      </c>
      <c r="Q9" s="42">
        <v>4</v>
      </c>
      <c r="R9" s="42">
        <v>4</v>
      </c>
      <c r="S9" s="42">
        <v>3</v>
      </c>
      <c r="T9" s="42">
        <v>5</v>
      </c>
      <c r="U9" s="42">
        <v>5</v>
      </c>
      <c r="V9" s="42">
        <v>5</v>
      </c>
      <c r="W9" s="42">
        <v>4</v>
      </c>
      <c r="X9" s="42">
        <v>3</v>
      </c>
    </row>
    <row r="10" spans="3:24" ht="37.5">
      <c r="C10" s="42" t="s">
        <v>256</v>
      </c>
      <c r="D10" s="125" t="s">
        <v>227</v>
      </c>
      <c r="E10" s="37" t="s">
        <v>4</v>
      </c>
      <c r="F10" s="150" t="s">
        <v>5</v>
      </c>
      <c r="G10" s="152" t="s">
        <v>6</v>
      </c>
      <c r="H10" s="37">
        <v>38135</v>
      </c>
      <c r="I10" s="37">
        <v>38135</v>
      </c>
      <c r="J10" s="37">
        <v>38136</v>
      </c>
      <c r="K10" s="37">
        <v>38136</v>
      </c>
      <c r="L10" s="37">
        <v>38170</v>
      </c>
      <c r="M10" s="37">
        <v>38170</v>
      </c>
      <c r="N10" s="37">
        <v>38171</v>
      </c>
      <c r="O10" s="37">
        <v>38171</v>
      </c>
      <c r="P10" s="37">
        <v>38226</v>
      </c>
      <c r="Q10" s="37">
        <v>38226</v>
      </c>
      <c r="R10" s="37">
        <v>38226</v>
      </c>
      <c r="S10" s="37">
        <v>38226</v>
      </c>
      <c r="T10" s="37">
        <v>38227</v>
      </c>
      <c r="U10" s="37">
        <v>38227</v>
      </c>
      <c r="V10" s="37">
        <v>38227</v>
      </c>
      <c r="W10" s="37">
        <v>38269</v>
      </c>
      <c r="X10" s="37">
        <v>38269</v>
      </c>
    </row>
    <row r="11" spans="2:24" ht="11.25">
      <c r="B11" s="28">
        <v>1</v>
      </c>
      <c r="C11" s="39">
        <v>2</v>
      </c>
      <c r="D11" s="38" t="s">
        <v>564</v>
      </c>
      <c r="E11" s="213">
        <f aca="true" t="shared" si="0" ref="E11:E18">COUNTA(H11:X11)</f>
        <v>15</v>
      </c>
      <c r="F11" s="49">
        <v>0</v>
      </c>
      <c r="G11" s="215">
        <f>C_S_G($H11:X11,$H$9:X$9,csg_table,E$9,F11)</f>
        <v>0.9442379182156134</v>
      </c>
      <c r="H11" s="49" t="s">
        <v>7</v>
      </c>
      <c r="I11" s="49" t="s">
        <v>7</v>
      </c>
      <c r="J11" s="49"/>
      <c r="K11" s="49"/>
      <c r="L11" s="49">
        <v>1</v>
      </c>
      <c r="M11" s="49">
        <v>2</v>
      </c>
      <c r="N11" s="49">
        <v>1</v>
      </c>
      <c r="O11" s="49">
        <v>2</v>
      </c>
      <c r="P11" s="49">
        <v>1</v>
      </c>
      <c r="Q11" s="49">
        <v>1</v>
      </c>
      <c r="R11" s="49">
        <v>1</v>
      </c>
      <c r="S11" s="49">
        <v>1</v>
      </c>
      <c r="T11" s="49">
        <v>2</v>
      </c>
      <c r="U11" s="49">
        <v>1</v>
      </c>
      <c r="V11" s="49">
        <v>2</v>
      </c>
      <c r="W11" s="49">
        <v>1</v>
      </c>
      <c r="X11" s="49">
        <v>2</v>
      </c>
    </row>
    <row r="12" spans="2:24" ht="11.25">
      <c r="B12" s="28">
        <v>2</v>
      </c>
      <c r="C12" s="41">
        <v>117</v>
      </c>
      <c r="D12" s="40" t="s">
        <v>560</v>
      </c>
      <c r="E12" s="70">
        <f t="shared" si="0"/>
        <v>10</v>
      </c>
      <c r="F12" s="33">
        <v>0</v>
      </c>
      <c r="G12" s="216">
        <f>C_S_G($H12:X12,$H$9:X$9,csg_table,E$9,F12)</f>
        <v>0.8954869358669834</v>
      </c>
      <c r="H12" s="33">
        <v>1</v>
      </c>
      <c r="I12" s="33">
        <v>1</v>
      </c>
      <c r="J12" s="33">
        <v>1</v>
      </c>
      <c r="K12" s="33"/>
      <c r="L12" s="33"/>
      <c r="M12" s="33"/>
      <c r="N12" s="33"/>
      <c r="O12" s="33"/>
      <c r="P12" s="33">
        <v>2</v>
      </c>
      <c r="Q12" s="33">
        <v>2</v>
      </c>
      <c r="R12" s="33">
        <v>2</v>
      </c>
      <c r="S12" s="33">
        <v>2</v>
      </c>
      <c r="T12" s="33">
        <v>1</v>
      </c>
      <c r="U12" s="33">
        <v>2</v>
      </c>
      <c r="V12" s="33">
        <v>4</v>
      </c>
      <c r="W12" s="33"/>
      <c r="X12" s="33"/>
    </row>
    <row r="13" spans="2:24" ht="11.25">
      <c r="B13" s="28">
        <v>3</v>
      </c>
      <c r="C13" s="41">
        <v>5</v>
      </c>
      <c r="D13" s="40" t="s">
        <v>562</v>
      </c>
      <c r="E13" s="70">
        <f t="shared" si="0"/>
        <v>16</v>
      </c>
      <c r="F13" s="33">
        <v>0</v>
      </c>
      <c r="G13" s="216">
        <f>C_S_G($H13:X13,$H$9:X$9,csg_table,E$9,F13)</f>
        <v>0.744945567651633</v>
      </c>
      <c r="H13" s="33">
        <v>3</v>
      </c>
      <c r="I13" s="33">
        <v>2</v>
      </c>
      <c r="J13" s="33">
        <v>3</v>
      </c>
      <c r="K13" s="33"/>
      <c r="L13" s="33">
        <v>3</v>
      </c>
      <c r="M13" s="33">
        <v>3</v>
      </c>
      <c r="N13" s="33">
        <v>3</v>
      </c>
      <c r="O13" s="33">
        <v>3</v>
      </c>
      <c r="P13" s="33">
        <v>3</v>
      </c>
      <c r="Q13" s="33">
        <v>4</v>
      </c>
      <c r="R13" s="33">
        <v>3</v>
      </c>
      <c r="S13" s="33">
        <v>3</v>
      </c>
      <c r="T13" s="33">
        <v>4</v>
      </c>
      <c r="U13" s="33">
        <v>5</v>
      </c>
      <c r="V13" s="33">
        <v>5</v>
      </c>
      <c r="W13" s="33">
        <v>2</v>
      </c>
      <c r="X13" s="33">
        <v>1</v>
      </c>
    </row>
    <row r="14" spans="2:24" ht="11.25">
      <c r="B14" s="28">
        <v>4</v>
      </c>
      <c r="C14" s="51">
        <v>103</v>
      </c>
      <c r="D14" s="61" t="s">
        <v>566</v>
      </c>
      <c r="E14" s="214">
        <f t="shared" si="0"/>
        <v>10</v>
      </c>
      <c r="F14" s="35">
        <v>0</v>
      </c>
      <c r="G14" s="217">
        <f>C_S_G($H14:X14,$H$9:X$9,csg_table,E$9,F14)</f>
        <v>0.7353760445682451</v>
      </c>
      <c r="H14" s="35" t="s">
        <v>7</v>
      </c>
      <c r="I14" s="35" t="s">
        <v>7</v>
      </c>
      <c r="J14" s="35"/>
      <c r="K14" s="35"/>
      <c r="L14" s="35"/>
      <c r="M14" s="35"/>
      <c r="N14" s="35"/>
      <c r="O14" s="35"/>
      <c r="P14" s="35">
        <v>4</v>
      </c>
      <c r="Q14" s="35">
        <v>3</v>
      </c>
      <c r="R14" s="35">
        <v>4</v>
      </c>
      <c r="S14" s="35"/>
      <c r="T14" s="35">
        <v>5</v>
      </c>
      <c r="U14" s="35">
        <v>3</v>
      </c>
      <c r="V14" s="35">
        <v>3</v>
      </c>
      <c r="W14" s="35">
        <v>3</v>
      </c>
      <c r="X14" s="35">
        <v>3</v>
      </c>
    </row>
    <row r="15" spans="3:24" ht="11.25">
      <c r="C15" s="39">
        <v>116</v>
      </c>
      <c r="D15" s="38" t="s">
        <v>563</v>
      </c>
      <c r="E15" s="213">
        <f t="shared" si="0"/>
        <v>7</v>
      </c>
      <c r="F15" s="49">
        <v>0</v>
      </c>
      <c r="G15" s="215">
        <f>C_S_G($H15:X15,$H$9:X$9,csg_table,E$9,F15)</f>
        <v>0.8325581395348837</v>
      </c>
      <c r="H15" s="49" t="s">
        <v>7</v>
      </c>
      <c r="I15" s="49" t="s">
        <v>7</v>
      </c>
      <c r="J15" s="49">
        <v>2</v>
      </c>
      <c r="K15" s="49">
        <v>3</v>
      </c>
      <c r="L15" s="49">
        <v>2</v>
      </c>
      <c r="M15" s="49">
        <v>1</v>
      </c>
      <c r="N15" s="49"/>
      <c r="O15" s="49"/>
      <c r="P15" s="49"/>
      <c r="Q15" s="49"/>
      <c r="R15" s="49"/>
      <c r="S15" s="49"/>
      <c r="T15" s="49"/>
      <c r="U15" s="49"/>
      <c r="V15" s="49"/>
      <c r="W15" s="49">
        <v>4</v>
      </c>
      <c r="X15" s="49"/>
    </row>
    <row r="16" spans="3:24" ht="11.25">
      <c r="C16" s="41">
        <v>122</v>
      </c>
      <c r="D16" s="40" t="s">
        <v>561</v>
      </c>
      <c r="E16" s="70">
        <f t="shared" si="0"/>
        <v>5</v>
      </c>
      <c r="F16" s="33">
        <v>0</v>
      </c>
      <c r="G16" s="216">
        <f>C_S_G($H16:X16,$H$9:X$9,csg_table,E$9,F16)</f>
        <v>0.6963350785340314</v>
      </c>
      <c r="H16" s="33">
        <v>2</v>
      </c>
      <c r="I16" s="33">
        <v>3</v>
      </c>
      <c r="J16" s="33">
        <v>4</v>
      </c>
      <c r="K16" s="33"/>
      <c r="L16" s="33">
        <v>4</v>
      </c>
      <c r="M16" s="33">
        <v>4</v>
      </c>
      <c r="N16" s="33"/>
      <c r="O16" s="33"/>
      <c r="P16" s="33"/>
      <c r="Q16" s="33"/>
      <c r="R16" s="33"/>
      <c r="S16" s="33"/>
      <c r="T16" s="33"/>
      <c r="U16" s="33"/>
      <c r="V16" s="33"/>
      <c r="W16" s="33"/>
      <c r="X16" s="33"/>
    </row>
    <row r="17" spans="3:24" ht="11.25">
      <c r="C17" s="41">
        <v>118</v>
      </c>
      <c r="D17" s="40" t="s">
        <v>565</v>
      </c>
      <c r="E17" s="70">
        <f t="shared" si="0"/>
        <v>5</v>
      </c>
      <c r="F17" s="33">
        <v>0</v>
      </c>
      <c r="G17" s="216">
        <f>C_S_G($H17:X17,$H$9:X$9,csg_table,E$9,F17)</f>
        <v>0.8461538461538461</v>
      </c>
      <c r="H17" s="33" t="s">
        <v>7</v>
      </c>
      <c r="I17" s="33" t="s">
        <v>7</v>
      </c>
      <c r="J17" s="33"/>
      <c r="K17" s="33"/>
      <c r="L17" s="33"/>
      <c r="M17" s="33"/>
      <c r="N17" s="33"/>
      <c r="O17" s="33"/>
      <c r="P17" s="33"/>
      <c r="Q17" s="33"/>
      <c r="R17" s="33"/>
      <c r="S17" s="33"/>
      <c r="T17" s="33">
        <v>3</v>
      </c>
      <c r="U17" s="33">
        <v>4</v>
      </c>
      <c r="V17" s="33">
        <v>1</v>
      </c>
      <c r="W17" s="33"/>
      <c r="X17" s="33"/>
    </row>
    <row r="18" spans="3:24" ht="11.25">
      <c r="C18" s="51">
        <v>100</v>
      </c>
      <c r="D18" s="61"/>
      <c r="E18" s="214">
        <f t="shared" si="0"/>
        <v>4</v>
      </c>
      <c r="F18" s="35">
        <v>0</v>
      </c>
      <c r="G18" s="217">
        <f>C_S_G($H18:X18,$H$9:X$9,csg_table,E$9,F18)</f>
        <v>0.9032258064516129</v>
      </c>
      <c r="H18" s="35" t="s">
        <v>7</v>
      </c>
      <c r="I18" s="35" t="s">
        <v>7</v>
      </c>
      <c r="J18" s="35"/>
      <c r="K18" s="35"/>
      <c r="L18" s="35"/>
      <c r="M18" s="35"/>
      <c r="N18" s="35">
        <v>2</v>
      </c>
      <c r="O18" s="35">
        <v>1</v>
      </c>
      <c r="P18" s="35"/>
      <c r="Q18" s="35"/>
      <c r="R18" s="35"/>
      <c r="S18" s="35"/>
      <c r="T18" s="35"/>
      <c r="U18" s="35"/>
      <c r="V18" s="35"/>
      <c r="W18" s="35"/>
      <c r="X18" s="35"/>
    </row>
    <row r="19" ht="10.5" customHeight="1"/>
    <row r="21" ht="11.25">
      <c r="D21" s="28" t="s">
        <v>536</v>
      </c>
    </row>
    <row r="22" ht="11.25">
      <c r="D22" s="28" t="s">
        <v>537</v>
      </c>
    </row>
    <row r="23" ht="11.25">
      <c r="D23" s="28" t="s">
        <v>538</v>
      </c>
    </row>
  </sheetData>
  <sheetProtection/>
  <mergeCells count="4">
    <mergeCell ref="H5:K5"/>
    <mergeCell ref="L5:O5"/>
    <mergeCell ref="P5:V5"/>
    <mergeCell ref="W5:X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26"/>
  <dimension ref="A1:X31"/>
  <sheetViews>
    <sheetView zoomScalePageLayoutView="0" workbookViewId="0" topLeftCell="A1">
      <selection activeCell="N28" sqref="N28"/>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24" width="4.140625" style="28" customWidth="1"/>
    <col min="25" max="16384" width="9.140625" style="28" customWidth="1"/>
  </cols>
  <sheetData>
    <row r="1" ht="11.25">
      <c r="A1" s="28" t="s">
        <v>7</v>
      </c>
    </row>
    <row r="2" ht="11.25">
      <c r="D2" s="24" t="s">
        <v>306</v>
      </c>
    </row>
    <row r="4" spans="4:24" ht="11.25">
      <c r="D4" s="192"/>
      <c r="H4" s="235" t="s">
        <v>113</v>
      </c>
      <c r="I4" s="236"/>
      <c r="J4" s="236"/>
      <c r="K4" s="237"/>
      <c r="L4" s="236" t="s">
        <v>118</v>
      </c>
      <c r="M4" s="236"/>
      <c r="N4" s="236"/>
      <c r="O4" s="237"/>
      <c r="P4" s="235" t="s">
        <v>355</v>
      </c>
      <c r="Q4" s="236"/>
      <c r="R4" s="236"/>
      <c r="S4" s="236"/>
      <c r="T4" s="236"/>
      <c r="U4" s="236"/>
      <c r="V4" s="237"/>
      <c r="W4" s="235" t="s">
        <v>463</v>
      </c>
      <c r="X4" s="237"/>
    </row>
    <row r="5" spans="3:24" ht="11.25">
      <c r="C5" s="38"/>
      <c r="D5" s="127"/>
      <c r="E5" s="106"/>
      <c r="F5" s="116"/>
      <c r="G5" s="117" t="s">
        <v>0</v>
      </c>
      <c r="H5" s="63" t="s">
        <v>99</v>
      </c>
      <c r="I5" s="42" t="s">
        <v>99</v>
      </c>
      <c r="J5" s="42" t="s">
        <v>99</v>
      </c>
      <c r="K5" s="42" t="s">
        <v>235</v>
      </c>
      <c r="L5" s="42"/>
      <c r="M5" s="42"/>
      <c r="N5" s="42"/>
      <c r="O5" s="42"/>
      <c r="P5" s="42" t="s">
        <v>99</v>
      </c>
      <c r="Q5" s="42" t="s">
        <v>99</v>
      </c>
      <c r="R5" s="42" t="s">
        <v>99</v>
      </c>
      <c r="S5" s="42" t="s">
        <v>99</v>
      </c>
      <c r="T5" s="42" t="s">
        <v>99</v>
      </c>
      <c r="U5" s="42" t="s">
        <v>99</v>
      </c>
      <c r="V5" s="42" t="s">
        <v>99</v>
      </c>
      <c r="W5" s="42"/>
      <c r="X5" s="42"/>
    </row>
    <row r="6" spans="3:24" ht="11.25">
      <c r="C6" s="40"/>
      <c r="D6" s="64"/>
      <c r="E6" s="57"/>
      <c r="F6" s="118"/>
      <c r="G6" s="119" t="s">
        <v>1</v>
      </c>
      <c r="H6" s="113">
        <v>190</v>
      </c>
      <c r="I6" s="43">
        <v>190</v>
      </c>
      <c r="J6" s="43">
        <v>330</v>
      </c>
      <c r="K6" s="43">
        <v>330</v>
      </c>
      <c r="L6" s="42"/>
      <c r="M6" s="42"/>
      <c r="N6" s="42"/>
      <c r="O6" s="42"/>
      <c r="P6" s="42">
        <v>175</v>
      </c>
      <c r="Q6" s="42">
        <v>175</v>
      </c>
      <c r="R6" s="42">
        <v>175</v>
      </c>
      <c r="S6" s="42">
        <v>175</v>
      </c>
      <c r="T6" s="42">
        <v>175</v>
      </c>
      <c r="U6" s="42">
        <v>175</v>
      </c>
      <c r="V6" s="42">
        <v>175</v>
      </c>
      <c r="W6" s="42"/>
      <c r="X6" s="42"/>
    </row>
    <row r="7" spans="3:24" ht="11.25">
      <c r="C7" s="40"/>
      <c r="D7" s="64"/>
      <c r="E7" s="57"/>
      <c r="F7" s="118"/>
      <c r="G7" s="119" t="s">
        <v>2</v>
      </c>
      <c r="H7" s="63">
        <v>12</v>
      </c>
      <c r="I7" s="42">
        <v>20</v>
      </c>
      <c r="J7" s="45" t="s">
        <v>168</v>
      </c>
      <c r="K7" s="44" t="s">
        <v>167</v>
      </c>
      <c r="L7" s="44"/>
      <c r="M7" s="44"/>
      <c r="N7" s="44"/>
      <c r="O7" s="44"/>
      <c r="P7" s="44">
        <v>15</v>
      </c>
      <c r="Q7" s="44">
        <v>15</v>
      </c>
      <c r="R7" s="44">
        <v>15</v>
      </c>
      <c r="S7" s="44">
        <v>15</v>
      </c>
      <c r="T7" s="44">
        <v>10</v>
      </c>
      <c r="U7" s="44">
        <v>8</v>
      </c>
      <c r="V7" s="44">
        <v>5</v>
      </c>
      <c r="W7" s="44"/>
      <c r="X7" s="44"/>
    </row>
    <row r="8" spans="3:24" ht="11.25">
      <c r="C8" s="61"/>
      <c r="D8" s="128"/>
      <c r="E8" s="57">
        <f>COUNTIF($H8:X8,"&gt;0")</f>
        <v>17</v>
      </c>
      <c r="F8" s="120"/>
      <c r="G8" s="121" t="s">
        <v>3</v>
      </c>
      <c r="H8" s="63">
        <v>12</v>
      </c>
      <c r="I8" s="42">
        <v>12</v>
      </c>
      <c r="J8" s="42">
        <v>11</v>
      </c>
      <c r="K8" s="42">
        <v>11</v>
      </c>
      <c r="L8" s="42">
        <v>10</v>
      </c>
      <c r="M8" s="42">
        <v>10</v>
      </c>
      <c r="N8" s="42">
        <v>9</v>
      </c>
      <c r="O8" s="42">
        <v>7</v>
      </c>
      <c r="P8" s="42">
        <v>8</v>
      </c>
      <c r="Q8" s="42">
        <v>8</v>
      </c>
      <c r="R8" s="42">
        <v>7</v>
      </c>
      <c r="S8" s="42">
        <v>7</v>
      </c>
      <c r="T8" s="42">
        <v>8</v>
      </c>
      <c r="U8" s="42">
        <v>8</v>
      </c>
      <c r="V8" s="42">
        <v>7</v>
      </c>
      <c r="W8" s="42">
        <v>7</v>
      </c>
      <c r="X8" s="42">
        <v>6</v>
      </c>
    </row>
    <row r="9" spans="3:24" ht="37.5">
      <c r="C9" s="42" t="s">
        <v>256</v>
      </c>
      <c r="D9" s="125" t="s">
        <v>227</v>
      </c>
      <c r="E9" s="37" t="s">
        <v>4</v>
      </c>
      <c r="F9" s="150" t="s">
        <v>5</v>
      </c>
      <c r="G9" s="152" t="s">
        <v>6</v>
      </c>
      <c r="H9" s="37">
        <v>38135</v>
      </c>
      <c r="I9" s="37">
        <v>38135</v>
      </c>
      <c r="J9" s="37">
        <v>38136</v>
      </c>
      <c r="K9" s="37">
        <v>38136</v>
      </c>
      <c r="L9" s="37">
        <v>38170</v>
      </c>
      <c r="M9" s="37">
        <v>38170</v>
      </c>
      <c r="N9" s="37">
        <v>38171</v>
      </c>
      <c r="O9" s="37">
        <v>38171</v>
      </c>
      <c r="P9" s="37">
        <v>38226</v>
      </c>
      <c r="Q9" s="37">
        <v>38226</v>
      </c>
      <c r="R9" s="37">
        <v>38226</v>
      </c>
      <c r="S9" s="37">
        <v>38226</v>
      </c>
      <c r="T9" s="37">
        <v>38227</v>
      </c>
      <c r="U9" s="37">
        <v>38227</v>
      </c>
      <c r="V9" s="37">
        <v>38227</v>
      </c>
      <c r="W9" s="37">
        <v>38269</v>
      </c>
      <c r="X9" s="37">
        <v>38269</v>
      </c>
    </row>
    <row r="10" spans="2:24" ht="11.25">
      <c r="B10" s="28">
        <v>1</v>
      </c>
      <c r="C10" s="39">
        <v>23</v>
      </c>
      <c r="D10" s="38" t="s">
        <v>487</v>
      </c>
      <c r="E10" s="213">
        <f aca="true" t="shared" si="0" ref="E10:E26">COUNTA(H10:X10)</f>
        <v>15</v>
      </c>
      <c r="F10" s="49">
        <v>0</v>
      </c>
      <c r="G10" s="215">
        <f>C_S_G($H10:X10,$H$8:X$8,csg_table,E$8,F10)</f>
        <v>0.8991150442477877</v>
      </c>
      <c r="H10" s="49">
        <v>4</v>
      </c>
      <c r="I10" s="49">
        <v>3</v>
      </c>
      <c r="J10" s="49">
        <v>3</v>
      </c>
      <c r="K10" s="49">
        <v>2</v>
      </c>
      <c r="L10" s="49">
        <v>1</v>
      </c>
      <c r="M10" s="49">
        <v>4</v>
      </c>
      <c r="N10" s="49">
        <v>2</v>
      </c>
      <c r="O10" s="49">
        <v>1</v>
      </c>
      <c r="P10" s="49">
        <v>6</v>
      </c>
      <c r="Q10" s="49">
        <v>1</v>
      </c>
      <c r="R10" s="49">
        <v>2</v>
      </c>
      <c r="S10" s="49">
        <v>2</v>
      </c>
      <c r="T10" s="49">
        <v>1</v>
      </c>
      <c r="U10" s="49">
        <v>3</v>
      </c>
      <c r="V10" s="49">
        <v>4</v>
      </c>
      <c r="W10" s="49"/>
      <c r="X10" s="49"/>
    </row>
    <row r="11" spans="2:24" ht="11.25">
      <c r="B11" s="28">
        <v>2</v>
      </c>
      <c r="C11" s="41">
        <v>25</v>
      </c>
      <c r="D11" s="40" t="s">
        <v>162</v>
      </c>
      <c r="E11" s="70">
        <f t="shared" si="0"/>
        <v>15</v>
      </c>
      <c r="F11" s="33">
        <v>0</v>
      </c>
      <c r="G11" s="216">
        <f>C_S_G($H11:X11,$H$8:X$8,csg_table,E$8,F11)</f>
        <v>0.8973451327433628</v>
      </c>
      <c r="H11" s="33">
        <v>1</v>
      </c>
      <c r="I11" s="33">
        <v>2</v>
      </c>
      <c r="J11" s="33">
        <v>7</v>
      </c>
      <c r="K11" s="33">
        <v>4</v>
      </c>
      <c r="L11" s="33">
        <v>4</v>
      </c>
      <c r="M11" s="33">
        <v>1</v>
      </c>
      <c r="N11" s="33">
        <v>1</v>
      </c>
      <c r="O11" s="33">
        <v>2</v>
      </c>
      <c r="P11" s="33">
        <v>3</v>
      </c>
      <c r="Q11" s="33">
        <v>3</v>
      </c>
      <c r="R11" s="33">
        <v>6</v>
      </c>
      <c r="S11" s="33">
        <v>1</v>
      </c>
      <c r="T11" s="33">
        <v>3</v>
      </c>
      <c r="U11" s="33">
        <v>2</v>
      </c>
      <c r="V11" s="33">
        <v>1</v>
      </c>
      <c r="W11" s="33"/>
      <c r="X11" s="33"/>
    </row>
    <row r="12" spans="2:24" ht="11.25">
      <c r="B12" s="28">
        <v>3</v>
      </c>
      <c r="C12" s="41">
        <v>182</v>
      </c>
      <c r="D12" s="40" t="s">
        <v>164</v>
      </c>
      <c r="E12" s="70">
        <f t="shared" si="0"/>
        <v>13</v>
      </c>
      <c r="F12" s="33">
        <v>0</v>
      </c>
      <c r="G12" s="216">
        <f>C_S_G($H12:X12,$H$8:X$8,csg_table,E$8,F12)</f>
        <v>0.864693446088795</v>
      </c>
      <c r="H12" s="33">
        <v>5</v>
      </c>
      <c r="I12" s="33">
        <v>5</v>
      </c>
      <c r="J12" s="33"/>
      <c r="K12" s="33"/>
      <c r="L12" s="33">
        <v>6</v>
      </c>
      <c r="M12" s="33">
        <v>2</v>
      </c>
      <c r="N12" s="33"/>
      <c r="O12" s="33"/>
      <c r="P12" s="33">
        <v>1</v>
      </c>
      <c r="Q12" s="33">
        <v>2</v>
      </c>
      <c r="R12" s="33">
        <v>3</v>
      </c>
      <c r="S12" s="33">
        <v>3</v>
      </c>
      <c r="T12" s="33">
        <v>2</v>
      </c>
      <c r="U12" s="33">
        <v>4</v>
      </c>
      <c r="V12" s="33">
        <v>2</v>
      </c>
      <c r="W12" s="33">
        <v>3</v>
      </c>
      <c r="X12" s="33">
        <v>2</v>
      </c>
    </row>
    <row r="13" spans="2:24" ht="11.25">
      <c r="B13" s="28">
        <v>4</v>
      </c>
      <c r="C13" s="41">
        <v>142</v>
      </c>
      <c r="D13" s="40" t="s">
        <v>214</v>
      </c>
      <c r="E13" s="70">
        <f t="shared" si="0"/>
        <v>13</v>
      </c>
      <c r="F13" s="33">
        <v>0</v>
      </c>
      <c r="G13" s="216">
        <f>C_S_G($H13:X13,$H$8:X$8,csg_table,E$8,F13)</f>
        <v>0.8087044534412956</v>
      </c>
      <c r="H13" s="33">
        <v>7</v>
      </c>
      <c r="I13" s="33">
        <v>7</v>
      </c>
      <c r="J13" s="33">
        <v>10</v>
      </c>
      <c r="K13" s="33">
        <v>8</v>
      </c>
      <c r="L13" s="33">
        <v>7</v>
      </c>
      <c r="M13" s="33">
        <v>3</v>
      </c>
      <c r="N13" s="33"/>
      <c r="O13" s="33"/>
      <c r="P13" s="33">
        <v>2</v>
      </c>
      <c r="Q13" s="33">
        <v>4</v>
      </c>
      <c r="R13" s="33">
        <v>1</v>
      </c>
      <c r="S13" s="33">
        <v>4</v>
      </c>
      <c r="T13" s="33">
        <v>5</v>
      </c>
      <c r="U13" s="33">
        <v>1</v>
      </c>
      <c r="V13" s="33">
        <v>3</v>
      </c>
      <c r="W13" s="33"/>
      <c r="X13" s="33"/>
    </row>
    <row r="14" spans="2:24" ht="11.25">
      <c r="B14" s="28">
        <v>5</v>
      </c>
      <c r="C14" s="41">
        <v>176</v>
      </c>
      <c r="D14" s="40" t="s">
        <v>333</v>
      </c>
      <c r="E14" s="70">
        <f t="shared" si="0"/>
        <v>15</v>
      </c>
      <c r="F14" s="33">
        <v>0</v>
      </c>
      <c r="G14" s="216">
        <f>C_S_G($H14:X14,$H$8:X$8,csg_table,E$8,F14)</f>
        <v>0.7787610619469026</v>
      </c>
      <c r="H14" s="33">
        <v>6</v>
      </c>
      <c r="I14" s="33">
        <v>10</v>
      </c>
      <c r="J14" s="33">
        <v>2</v>
      </c>
      <c r="K14" s="33">
        <v>7</v>
      </c>
      <c r="L14" s="33">
        <v>3</v>
      </c>
      <c r="M14" s="33">
        <v>5</v>
      </c>
      <c r="N14" s="33">
        <v>3</v>
      </c>
      <c r="O14" s="33">
        <v>3</v>
      </c>
      <c r="P14" s="33">
        <v>5</v>
      </c>
      <c r="Q14" s="33">
        <v>6</v>
      </c>
      <c r="R14" s="33">
        <v>7</v>
      </c>
      <c r="S14" s="33">
        <v>5</v>
      </c>
      <c r="T14" s="33">
        <v>4</v>
      </c>
      <c r="U14" s="33">
        <v>5</v>
      </c>
      <c r="V14" s="33">
        <v>6</v>
      </c>
      <c r="W14" s="33"/>
      <c r="X14" s="33"/>
    </row>
    <row r="15" spans="2:24" ht="11.25">
      <c r="B15" s="28">
        <v>6</v>
      </c>
      <c r="C15" s="41">
        <v>70</v>
      </c>
      <c r="D15" s="40" t="s">
        <v>213</v>
      </c>
      <c r="E15" s="70">
        <f t="shared" si="0"/>
        <v>9</v>
      </c>
      <c r="F15" s="33">
        <v>0</v>
      </c>
      <c r="G15" s="216">
        <f>C_S_G($H15:X15,$H$8:X$8,csg_table,E$8,F15)</f>
        <v>0.7569832402234636</v>
      </c>
      <c r="H15" s="33">
        <v>11</v>
      </c>
      <c r="I15" s="33">
        <v>4</v>
      </c>
      <c r="J15" s="33">
        <v>8</v>
      </c>
      <c r="K15" s="33">
        <v>10</v>
      </c>
      <c r="L15" s="33">
        <v>2</v>
      </c>
      <c r="M15" s="33">
        <v>6</v>
      </c>
      <c r="N15" s="33">
        <v>4</v>
      </c>
      <c r="O15" s="33">
        <v>4</v>
      </c>
      <c r="P15" s="33"/>
      <c r="Q15" s="33"/>
      <c r="R15" s="33"/>
      <c r="S15" s="33"/>
      <c r="T15" s="33"/>
      <c r="U15" s="33"/>
      <c r="V15" s="33"/>
      <c r="W15" s="33" t="s">
        <v>103</v>
      </c>
      <c r="X15" s="33"/>
    </row>
    <row r="16" spans="2:24" ht="11.25">
      <c r="B16" s="28">
        <v>7</v>
      </c>
      <c r="C16" s="41">
        <v>183</v>
      </c>
      <c r="D16" s="40" t="s">
        <v>223</v>
      </c>
      <c r="E16" s="70">
        <f t="shared" si="0"/>
        <v>10</v>
      </c>
      <c r="F16" s="33">
        <v>0</v>
      </c>
      <c r="G16" s="216">
        <f>C_S_G($H16:X16,$H$8:X$8,csg_table,E$8,F16)</f>
        <v>0.7559055118110236</v>
      </c>
      <c r="H16" s="33">
        <v>8</v>
      </c>
      <c r="I16" s="33">
        <v>9</v>
      </c>
      <c r="J16" s="33">
        <v>1</v>
      </c>
      <c r="K16" s="33">
        <v>5</v>
      </c>
      <c r="L16" s="33"/>
      <c r="M16" s="33"/>
      <c r="N16" s="33"/>
      <c r="O16" s="33"/>
      <c r="P16" s="33">
        <v>4</v>
      </c>
      <c r="Q16" s="33">
        <v>7</v>
      </c>
      <c r="R16" s="33">
        <v>5</v>
      </c>
      <c r="S16" s="33">
        <v>7</v>
      </c>
      <c r="T16" s="33">
        <v>6</v>
      </c>
      <c r="U16" s="33">
        <v>8</v>
      </c>
      <c r="V16" s="33"/>
      <c r="W16" s="33"/>
      <c r="X16" s="33"/>
    </row>
    <row r="17" spans="2:24" ht="11.25">
      <c r="B17" s="28">
        <v>8</v>
      </c>
      <c r="C17" s="41">
        <v>117</v>
      </c>
      <c r="D17" s="40" t="s">
        <v>209</v>
      </c>
      <c r="E17" s="70">
        <f t="shared" si="0"/>
        <v>15</v>
      </c>
      <c r="F17" s="33">
        <v>0</v>
      </c>
      <c r="G17" s="216">
        <f>C_S_G($H17:X17,$H$8:X$8,csg_table,E$8,F17)</f>
        <v>0.6902654867256637</v>
      </c>
      <c r="H17" s="33">
        <v>12</v>
      </c>
      <c r="I17" s="33">
        <v>12</v>
      </c>
      <c r="J17" s="33">
        <v>11</v>
      </c>
      <c r="K17" s="33">
        <v>9</v>
      </c>
      <c r="L17" s="33">
        <v>10</v>
      </c>
      <c r="M17" s="33">
        <v>7</v>
      </c>
      <c r="N17" s="33">
        <v>9</v>
      </c>
      <c r="O17" s="33">
        <v>7</v>
      </c>
      <c r="P17" s="33">
        <v>7</v>
      </c>
      <c r="Q17" s="33">
        <v>5</v>
      </c>
      <c r="R17" s="33">
        <v>4</v>
      </c>
      <c r="S17" s="33">
        <v>6</v>
      </c>
      <c r="T17" s="33">
        <v>7</v>
      </c>
      <c r="U17" s="33">
        <v>6</v>
      </c>
      <c r="V17" s="33">
        <v>5</v>
      </c>
      <c r="W17" s="33"/>
      <c r="X17" s="33"/>
    </row>
    <row r="18" spans="2:24" ht="11.25">
      <c r="B18" s="28">
        <v>9</v>
      </c>
      <c r="C18" s="41">
        <v>197</v>
      </c>
      <c r="D18" s="40" t="s">
        <v>215</v>
      </c>
      <c r="E18" s="70">
        <f t="shared" si="0"/>
        <v>8</v>
      </c>
      <c r="F18" s="33">
        <v>0</v>
      </c>
      <c r="G18" s="216">
        <f>C_S_G($H18:X18,$H$8:X$8,csg_table,E$8,F18)</f>
        <v>0.7098360655737705</v>
      </c>
      <c r="H18" s="33">
        <v>9</v>
      </c>
      <c r="I18" s="33">
        <v>8</v>
      </c>
      <c r="J18" s="33">
        <v>9</v>
      </c>
      <c r="K18" s="33">
        <v>11</v>
      </c>
      <c r="L18" s="33"/>
      <c r="M18" s="33"/>
      <c r="N18" s="33">
        <v>5</v>
      </c>
      <c r="O18" s="33">
        <v>5</v>
      </c>
      <c r="P18" s="33"/>
      <c r="Q18" s="33"/>
      <c r="R18" s="33"/>
      <c r="S18" s="33"/>
      <c r="T18" s="33"/>
      <c r="U18" s="33"/>
      <c r="V18" s="33"/>
      <c r="W18" s="33">
        <v>6</v>
      </c>
      <c r="X18" s="33">
        <v>5</v>
      </c>
    </row>
    <row r="19" spans="2:24" ht="11.25">
      <c r="B19" s="28">
        <v>10</v>
      </c>
      <c r="C19" s="51">
        <v>38</v>
      </c>
      <c r="D19" s="61" t="s">
        <v>208</v>
      </c>
      <c r="E19" s="214">
        <f t="shared" si="0"/>
        <v>8</v>
      </c>
      <c r="F19" s="35">
        <v>0</v>
      </c>
      <c r="G19" s="217">
        <f>C_S_G($H19:X19,$H$8:X$8,csg_table,E$8,F19)</f>
        <v>0.6821305841924399</v>
      </c>
      <c r="H19" s="35"/>
      <c r="I19" s="35"/>
      <c r="J19" s="35"/>
      <c r="K19" s="35"/>
      <c r="L19" s="35">
        <v>9</v>
      </c>
      <c r="M19" s="35" t="s">
        <v>103</v>
      </c>
      <c r="N19" s="35">
        <v>7</v>
      </c>
      <c r="O19" s="35"/>
      <c r="P19" s="35"/>
      <c r="Q19" s="35"/>
      <c r="R19" s="35"/>
      <c r="S19" s="35"/>
      <c r="T19" s="35">
        <v>8</v>
      </c>
      <c r="U19" s="35">
        <v>7</v>
      </c>
      <c r="V19" s="35">
        <v>7</v>
      </c>
      <c r="W19" s="35">
        <v>5</v>
      </c>
      <c r="X19" s="35" t="s">
        <v>103</v>
      </c>
    </row>
    <row r="20" spans="3:24" ht="11.25">
      <c r="C20" s="41">
        <v>106</v>
      </c>
      <c r="D20" s="40" t="s">
        <v>311</v>
      </c>
      <c r="E20" s="70">
        <f t="shared" si="0"/>
        <v>6</v>
      </c>
      <c r="F20" s="33">
        <v>0</v>
      </c>
      <c r="G20" s="216">
        <f>C_S_G($H20:X20,$H$8:X$8,csg_table,E$8,F20)</f>
        <v>0.7885375494071146</v>
      </c>
      <c r="H20" s="33">
        <v>3</v>
      </c>
      <c r="I20" s="33">
        <v>6</v>
      </c>
      <c r="J20" s="33">
        <v>6</v>
      </c>
      <c r="K20" s="33">
        <v>3</v>
      </c>
      <c r="L20" s="33">
        <v>5</v>
      </c>
      <c r="M20" s="33" t="s">
        <v>103</v>
      </c>
      <c r="N20" s="33"/>
      <c r="O20" s="33"/>
      <c r="P20" s="33"/>
      <c r="Q20" s="33"/>
      <c r="R20" s="33"/>
      <c r="S20" s="33"/>
      <c r="T20" s="33"/>
      <c r="U20" s="33"/>
      <c r="V20" s="33"/>
      <c r="W20" s="33"/>
      <c r="X20" s="33"/>
    </row>
    <row r="21" spans="3:24" ht="11.25">
      <c r="C21" s="41">
        <v>5</v>
      </c>
      <c r="D21" s="40" t="s">
        <v>212</v>
      </c>
      <c r="E21" s="70">
        <f t="shared" si="0"/>
        <v>6</v>
      </c>
      <c r="F21" s="33">
        <f>MIN(INT(E21/10),3)</f>
        <v>0</v>
      </c>
      <c r="G21" s="216">
        <f>C_S_G($H21:X21,$H$8:X$8,csg_table,E$8,F21)</f>
        <v>0.6810344827586207</v>
      </c>
      <c r="H21" s="33">
        <v>10</v>
      </c>
      <c r="I21" s="33">
        <v>11</v>
      </c>
      <c r="J21" s="33"/>
      <c r="K21" s="33"/>
      <c r="L21" s="33"/>
      <c r="M21" s="33"/>
      <c r="N21" s="33">
        <v>6</v>
      </c>
      <c r="O21" s="33">
        <v>6</v>
      </c>
      <c r="P21" s="33">
        <v>8</v>
      </c>
      <c r="Q21" s="33" t="s">
        <v>103</v>
      </c>
      <c r="R21" s="33"/>
      <c r="S21" s="33"/>
      <c r="T21" s="33"/>
      <c r="U21" s="33"/>
      <c r="V21" s="33"/>
      <c r="W21" s="33"/>
      <c r="X21" s="33"/>
    </row>
    <row r="22" spans="3:24" ht="11.25">
      <c r="C22" s="41">
        <v>41</v>
      </c>
      <c r="D22" s="40" t="s">
        <v>222</v>
      </c>
      <c r="E22" s="70">
        <f t="shared" si="0"/>
        <v>5</v>
      </c>
      <c r="F22" s="33">
        <v>0</v>
      </c>
      <c r="G22" s="216">
        <f>C_S_G($H22:X22,$H$8:X$8,csg_table,E$8,F22)</f>
        <v>0.7348066298342542</v>
      </c>
      <c r="H22" s="33"/>
      <c r="I22" s="33"/>
      <c r="J22" s="33"/>
      <c r="K22" s="33"/>
      <c r="L22" s="33">
        <v>8</v>
      </c>
      <c r="M22" s="33">
        <v>8</v>
      </c>
      <c r="N22" s="33">
        <v>8</v>
      </c>
      <c r="O22" s="33"/>
      <c r="P22" s="33"/>
      <c r="Q22" s="33"/>
      <c r="R22" s="33"/>
      <c r="S22" s="33"/>
      <c r="T22" s="33"/>
      <c r="U22" s="33"/>
      <c r="V22" s="33"/>
      <c r="W22" s="33">
        <v>4</v>
      </c>
      <c r="X22" s="33">
        <v>3</v>
      </c>
    </row>
    <row r="23" spans="3:24" ht="11.25">
      <c r="C23" s="41">
        <v>49</v>
      </c>
      <c r="D23" s="40" t="s">
        <v>332</v>
      </c>
      <c r="E23" s="70">
        <f t="shared" si="0"/>
        <v>4</v>
      </c>
      <c r="F23" s="33">
        <v>0</v>
      </c>
      <c r="G23" s="216">
        <f>C_S_G($H23:X23,$H$8:X$8,csg_table,E$8,F23)</f>
        <v>0.9415204678362573</v>
      </c>
      <c r="H23" s="33">
        <v>2</v>
      </c>
      <c r="I23" s="33">
        <v>1</v>
      </c>
      <c r="J23" s="33">
        <v>4</v>
      </c>
      <c r="K23" s="33">
        <v>1</v>
      </c>
      <c r="L23" s="33"/>
      <c r="M23" s="33"/>
      <c r="N23" s="33"/>
      <c r="O23" s="33"/>
      <c r="P23" s="33"/>
      <c r="Q23" s="33"/>
      <c r="R23" s="33"/>
      <c r="S23" s="33"/>
      <c r="T23" s="33"/>
      <c r="U23" s="33"/>
      <c r="V23" s="33"/>
      <c r="W23" s="33"/>
      <c r="X23" s="33"/>
    </row>
    <row r="24" spans="3:24" ht="11.25">
      <c r="C24" s="41">
        <v>231</v>
      </c>
      <c r="D24" s="40" t="s">
        <v>224</v>
      </c>
      <c r="E24" s="70">
        <f t="shared" si="0"/>
        <v>3</v>
      </c>
      <c r="F24" s="33">
        <v>0</v>
      </c>
      <c r="G24" s="216">
        <f>C_S_G($H24:X24,$H$8:X$8,csg_table,E$8,F24)</f>
        <v>0.8412698412698413</v>
      </c>
      <c r="H24" s="33"/>
      <c r="I24" s="33"/>
      <c r="J24" s="33"/>
      <c r="K24" s="33"/>
      <c r="L24" s="33"/>
      <c r="M24" s="33"/>
      <c r="N24" s="33"/>
      <c r="O24" s="33"/>
      <c r="P24" s="33"/>
      <c r="Q24" s="33"/>
      <c r="R24" s="33"/>
      <c r="S24" s="33" t="s">
        <v>7</v>
      </c>
      <c r="T24" s="33"/>
      <c r="U24" s="33"/>
      <c r="V24" s="33"/>
      <c r="W24" s="33">
        <v>2</v>
      </c>
      <c r="X24" s="33">
        <v>4</v>
      </c>
    </row>
    <row r="25" spans="3:24" ht="11.25">
      <c r="C25" s="41">
        <v>221</v>
      </c>
      <c r="D25" s="40" t="s">
        <v>211</v>
      </c>
      <c r="E25" s="70">
        <f t="shared" si="0"/>
        <v>2</v>
      </c>
      <c r="F25" s="33">
        <v>0</v>
      </c>
      <c r="G25" s="216">
        <f>C_S_G($H25:X25,$H$8:X$8,csg_table,E$8,F25)</f>
        <v>0.7797619047619048</v>
      </c>
      <c r="H25" s="33"/>
      <c r="I25" s="33"/>
      <c r="J25" s="33">
        <v>5</v>
      </c>
      <c r="K25" s="33">
        <v>6</v>
      </c>
      <c r="L25" s="33"/>
      <c r="M25" s="33"/>
      <c r="N25" s="33"/>
      <c r="O25" s="33"/>
      <c r="P25" s="33"/>
      <c r="Q25" s="33"/>
      <c r="R25" s="33"/>
      <c r="S25" s="33"/>
      <c r="T25" s="33"/>
      <c r="U25" s="33"/>
      <c r="V25" s="33"/>
      <c r="W25" s="33"/>
      <c r="X25" s="33"/>
    </row>
    <row r="26" spans="3:24" ht="11.25">
      <c r="C26" s="51">
        <v>239</v>
      </c>
      <c r="D26" s="61" t="s">
        <v>464</v>
      </c>
      <c r="E26" s="214">
        <f t="shared" si="0"/>
        <v>2</v>
      </c>
      <c r="F26" s="35">
        <f>MIN(INT(E26/10),3)</f>
        <v>0</v>
      </c>
      <c r="G26" s="36">
        <f>C_S_G($H26:X26,$H$8:X$8,csg_table,E$8,F26)</f>
        <v>1</v>
      </c>
      <c r="H26" s="35"/>
      <c r="I26" s="35"/>
      <c r="J26" s="35"/>
      <c r="K26" s="35"/>
      <c r="L26" s="35"/>
      <c r="M26" s="35"/>
      <c r="N26" s="35"/>
      <c r="O26" s="35"/>
      <c r="P26" s="35"/>
      <c r="Q26" s="35"/>
      <c r="R26" s="35"/>
      <c r="S26" s="35"/>
      <c r="T26" s="35"/>
      <c r="U26" s="35"/>
      <c r="V26" s="35"/>
      <c r="W26" s="35">
        <v>1</v>
      </c>
      <c r="X26" s="35">
        <v>1</v>
      </c>
    </row>
    <row r="29" ht="11.25">
      <c r="D29" s="28" t="s">
        <v>536</v>
      </c>
    </row>
    <row r="30" ht="11.25">
      <c r="D30" s="28" t="s">
        <v>537</v>
      </c>
    </row>
    <row r="31" ht="11.25">
      <c r="D31" s="28" t="s">
        <v>538</v>
      </c>
    </row>
  </sheetData>
  <sheetProtection/>
  <mergeCells count="4">
    <mergeCell ref="P4:V4"/>
    <mergeCell ref="W4:X4"/>
    <mergeCell ref="H4:K4"/>
    <mergeCell ref="L4:O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25"/>
  <dimension ref="A2:AY57"/>
  <sheetViews>
    <sheetView zoomScalePageLayoutView="0" workbookViewId="0" topLeftCell="A3">
      <selection activeCell="A2" sqref="A1:IV16384"/>
    </sheetView>
  </sheetViews>
  <sheetFormatPr defaultColWidth="9.140625" defaultRowHeight="12.75"/>
  <cols>
    <col min="1" max="1" width="3.00390625" style="28" customWidth="1"/>
    <col min="2" max="2" width="7.140625" style="28" bestFit="1" customWidth="1"/>
    <col min="3" max="3" width="38.28125" style="28" customWidth="1"/>
    <col min="4" max="4" width="3.8515625" style="25" customWidth="1"/>
    <col min="5" max="5" width="3.28125" style="26" customWidth="1"/>
    <col min="6" max="6" width="9.140625" style="27" customWidth="1"/>
    <col min="7" max="10" width="5.140625" style="28" customWidth="1"/>
    <col min="11" max="51" width="4.140625" style="28" customWidth="1"/>
    <col min="52" max="16384" width="9.140625" style="28" customWidth="1"/>
  </cols>
  <sheetData>
    <row r="2" ht="11.25">
      <c r="C2" s="24" t="s">
        <v>504</v>
      </c>
    </row>
    <row r="3" ht="11.25">
      <c r="C3" s="28" t="s">
        <v>505</v>
      </c>
    </row>
    <row r="4" spans="3:51" ht="11.25">
      <c r="C4" s="28" t="s">
        <v>114</v>
      </c>
      <c r="G4" s="29" t="s">
        <v>104</v>
      </c>
      <c r="H4" s="30"/>
      <c r="I4" s="30"/>
      <c r="J4" s="30"/>
      <c r="K4" s="30"/>
      <c r="L4" s="30"/>
      <c r="M4" s="30"/>
      <c r="N4" s="30"/>
      <c r="O4" s="30"/>
      <c r="P4" s="50"/>
      <c r="Q4" s="50"/>
      <c r="R4" s="50"/>
      <c r="S4" s="50"/>
      <c r="T4" s="50"/>
      <c r="U4" s="30"/>
      <c r="V4" s="30"/>
      <c r="W4" s="30"/>
      <c r="X4" s="31"/>
      <c r="AG4" s="29" t="s">
        <v>105</v>
      </c>
      <c r="AH4" s="30"/>
      <c r="AI4" s="30"/>
      <c r="AJ4" s="30"/>
      <c r="AK4" s="30"/>
      <c r="AL4" s="30"/>
      <c r="AM4" s="30"/>
      <c r="AN4" s="30"/>
      <c r="AO4" s="30"/>
      <c r="AP4" s="30"/>
      <c r="AQ4" s="30"/>
      <c r="AR4" s="30"/>
      <c r="AS4" s="30"/>
      <c r="AT4" s="30"/>
      <c r="AU4" s="30"/>
      <c r="AV4" s="30"/>
      <c r="AW4" s="30"/>
      <c r="AX4" s="30"/>
      <c r="AY4" s="30"/>
    </row>
    <row r="5" spans="7:51" ht="11.25">
      <c r="G5" s="235" t="s">
        <v>113</v>
      </c>
      <c r="H5" s="236"/>
      <c r="I5" s="236"/>
      <c r="J5" s="237"/>
      <c r="K5" s="235" t="s">
        <v>116</v>
      </c>
      <c r="L5" s="237"/>
      <c r="M5" s="235" t="s">
        <v>117</v>
      </c>
      <c r="N5" s="237"/>
      <c r="O5" s="54" t="s">
        <v>506</v>
      </c>
      <c r="P5" s="53" t="s">
        <v>120</v>
      </c>
      <c r="Q5" s="52"/>
      <c r="R5" s="52"/>
      <c r="S5" s="52"/>
      <c r="T5" s="126"/>
      <c r="U5" s="236" t="s">
        <v>118</v>
      </c>
      <c r="V5" s="236"/>
      <c r="W5" s="236"/>
      <c r="X5" s="237"/>
      <c r="Y5" s="235" t="s">
        <v>92</v>
      </c>
      <c r="Z5" s="236"/>
      <c r="AA5" s="236"/>
      <c r="AB5" s="236"/>
      <c r="AC5" s="236"/>
      <c r="AD5" s="236"/>
      <c r="AE5" s="236"/>
      <c r="AF5" s="237"/>
      <c r="AG5" s="235" t="s">
        <v>507</v>
      </c>
      <c r="AH5" s="236"/>
      <c r="AI5" s="236"/>
      <c r="AJ5" s="237"/>
      <c r="AK5" s="235" t="s">
        <v>119</v>
      </c>
      <c r="AL5" s="236"/>
      <c r="AM5" s="236"/>
      <c r="AN5" s="236"/>
      <c r="AO5" s="237"/>
      <c r="AP5" s="235" t="s">
        <v>508</v>
      </c>
      <c r="AQ5" s="236"/>
      <c r="AR5" s="236"/>
      <c r="AS5" s="54" t="s">
        <v>116</v>
      </c>
      <c r="AT5" s="54" t="s">
        <v>506</v>
      </c>
      <c r="AU5" s="235" t="s">
        <v>509</v>
      </c>
      <c r="AV5" s="236"/>
      <c r="AW5" s="236"/>
      <c r="AX5" s="236"/>
      <c r="AY5" s="237"/>
    </row>
    <row r="6" spans="3:51" ht="11.25">
      <c r="C6" s="38"/>
      <c r="D6" s="39"/>
      <c r="E6" s="197"/>
      <c r="F6" s="198" t="s">
        <v>0</v>
      </c>
      <c r="G6" s="42" t="s">
        <v>99</v>
      </c>
      <c r="H6" s="42" t="s">
        <v>99</v>
      </c>
      <c r="I6" s="42" t="s">
        <v>99</v>
      </c>
      <c r="J6" s="42" t="s">
        <v>99</v>
      </c>
      <c r="K6" s="42" t="s">
        <v>99</v>
      </c>
      <c r="L6" s="42" t="s">
        <v>99</v>
      </c>
      <c r="M6" s="42" t="s">
        <v>99</v>
      </c>
      <c r="N6" s="42" t="s">
        <v>99</v>
      </c>
      <c r="O6" s="42" t="s">
        <v>99</v>
      </c>
      <c r="P6" s="51" t="s">
        <v>323</v>
      </c>
      <c r="Q6" s="51" t="s">
        <v>99</v>
      </c>
      <c r="R6" s="51" t="s">
        <v>323</v>
      </c>
      <c r="S6" s="51" t="s">
        <v>323</v>
      </c>
      <c r="T6" s="51" t="s">
        <v>323</v>
      </c>
      <c r="U6" s="42" t="s">
        <v>322</v>
      </c>
      <c r="V6" s="42" t="s">
        <v>322</v>
      </c>
      <c r="W6" s="42" t="s">
        <v>99</v>
      </c>
      <c r="X6" s="42" t="s">
        <v>322</v>
      </c>
      <c r="Y6" s="42"/>
      <c r="Z6" s="42"/>
      <c r="AA6" s="42"/>
      <c r="AB6" s="42"/>
      <c r="AC6" s="42" t="s">
        <v>99</v>
      </c>
      <c r="AD6" s="42" t="s">
        <v>99</v>
      </c>
      <c r="AE6" s="42" t="s">
        <v>99</v>
      </c>
      <c r="AF6" s="42" t="s">
        <v>99</v>
      </c>
      <c r="AG6" s="42"/>
      <c r="AH6" s="42"/>
      <c r="AI6" s="42" t="s">
        <v>99</v>
      </c>
      <c r="AJ6" s="42" t="s">
        <v>235</v>
      </c>
      <c r="AK6" s="42" t="s">
        <v>235</v>
      </c>
      <c r="AL6" s="42" t="s">
        <v>322</v>
      </c>
      <c r="AM6" s="42" t="s">
        <v>322</v>
      </c>
      <c r="AN6" s="42" t="s">
        <v>322</v>
      </c>
      <c r="AO6" s="42" t="s">
        <v>99</v>
      </c>
      <c r="AP6" s="42"/>
      <c r="AQ6" s="42"/>
      <c r="AR6" s="42"/>
      <c r="AS6" s="42" t="s">
        <v>322</v>
      </c>
      <c r="AT6" s="42"/>
      <c r="AU6" s="42" t="s">
        <v>99</v>
      </c>
      <c r="AV6" s="42" t="s">
        <v>99</v>
      </c>
      <c r="AW6" s="42" t="s">
        <v>99</v>
      </c>
      <c r="AX6" s="42" t="s">
        <v>99</v>
      </c>
      <c r="AY6" s="42" t="s">
        <v>99</v>
      </c>
    </row>
    <row r="7" spans="3:51" ht="11.25">
      <c r="C7" s="40"/>
      <c r="D7" s="41"/>
      <c r="E7" s="199"/>
      <c r="F7" s="200" t="s">
        <v>1</v>
      </c>
      <c r="G7" s="43">
        <v>350</v>
      </c>
      <c r="H7" s="43">
        <v>340</v>
      </c>
      <c r="I7" s="43">
        <v>280</v>
      </c>
      <c r="J7" s="43">
        <v>280</v>
      </c>
      <c r="K7" s="42">
        <v>45</v>
      </c>
      <c r="L7" s="42">
        <v>45</v>
      </c>
      <c r="M7" s="42">
        <v>215</v>
      </c>
      <c r="N7" s="42">
        <v>190</v>
      </c>
      <c r="O7" s="42">
        <v>310</v>
      </c>
      <c r="P7" s="42">
        <v>350</v>
      </c>
      <c r="Q7" s="42">
        <v>350</v>
      </c>
      <c r="R7" s="42">
        <v>230</v>
      </c>
      <c r="S7" s="42">
        <v>230</v>
      </c>
      <c r="T7" s="42">
        <v>230</v>
      </c>
      <c r="U7" s="42">
        <v>170</v>
      </c>
      <c r="V7" s="42">
        <v>170</v>
      </c>
      <c r="W7" s="42">
        <v>220</v>
      </c>
      <c r="X7" s="42">
        <v>220</v>
      </c>
      <c r="Y7" s="42"/>
      <c r="Z7" s="42"/>
      <c r="AA7" s="42"/>
      <c r="AB7" s="42"/>
      <c r="AC7" s="42">
        <v>40</v>
      </c>
      <c r="AD7" s="42">
        <v>90</v>
      </c>
      <c r="AE7" s="42">
        <v>90</v>
      </c>
      <c r="AF7" s="42">
        <v>100</v>
      </c>
      <c r="AG7" s="42">
        <v>330</v>
      </c>
      <c r="AH7" s="42">
        <v>330</v>
      </c>
      <c r="AI7" s="42">
        <v>310</v>
      </c>
      <c r="AJ7" s="42">
        <v>310</v>
      </c>
      <c r="AK7" s="42">
        <v>220</v>
      </c>
      <c r="AL7" s="42">
        <v>220</v>
      </c>
      <c r="AM7" s="42">
        <v>220</v>
      </c>
      <c r="AN7" s="42">
        <v>240</v>
      </c>
      <c r="AO7" s="42">
        <v>200</v>
      </c>
      <c r="AP7" s="42"/>
      <c r="AQ7" s="42"/>
      <c r="AR7" s="42"/>
      <c r="AS7" s="42">
        <v>160</v>
      </c>
      <c r="AT7" s="42"/>
      <c r="AU7" s="42">
        <v>220</v>
      </c>
      <c r="AV7" s="42">
        <v>210</v>
      </c>
      <c r="AW7" s="42">
        <v>200</v>
      </c>
      <c r="AX7" s="42">
        <v>350</v>
      </c>
      <c r="AY7" s="42">
        <v>330</v>
      </c>
    </row>
    <row r="8" spans="3:51" ht="11.25">
      <c r="C8" s="40"/>
      <c r="D8" s="41"/>
      <c r="E8" s="199"/>
      <c r="F8" s="200" t="s">
        <v>2</v>
      </c>
      <c r="G8" s="42" t="s">
        <v>510</v>
      </c>
      <c r="H8" s="42" t="s">
        <v>510</v>
      </c>
      <c r="I8" s="42" t="s">
        <v>511</v>
      </c>
      <c r="J8" s="44" t="s">
        <v>511</v>
      </c>
      <c r="K8" s="45" t="s">
        <v>512</v>
      </c>
      <c r="L8" s="45" t="s">
        <v>513</v>
      </c>
      <c r="M8" s="44" t="s">
        <v>514</v>
      </c>
      <c r="N8" s="44" t="s">
        <v>514</v>
      </c>
      <c r="O8" s="45" t="s">
        <v>514</v>
      </c>
      <c r="P8" s="44" t="s">
        <v>167</v>
      </c>
      <c r="Q8" s="44" t="s">
        <v>515</v>
      </c>
      <c r="R8" s="44" t="s">
        <v>168</v>
      </c>
      <c r="S8" s="44" t="s">
        <v>167</v>
      </c>
      <c r="T8" s="44" t="s">
        <v>516</v>
      </c>
      <c r="U8" s="44" t="s">
        <v>517</v>
      </c>
      <c r="V8" s="44" t="s">
        <v>518</v>
      </c>
      <c r="W8" s="44" t="s">
        <v>512</v>
      </c>
      <c r="X8" s="44" t="s">
        <v>512</v>
      </c>
      <c r="Y8" s="44"/>
      <c r="Z8" s="44"/>
      <c r="AA8" s="44"/>
      <c r="AB8" s="44"/>
      <c r="AC8" s="44" t="s">
        <v>519</v>
      </c>
      <c r="AD8" s="44" t="s">
        <v>512</v>
      </c>
      <c r="AE8" s="44" t="s">
        <v>513</v>
      </c>
      <c r="AF8" s="44" t="s">
        <v>520</v>
      </c>
      <c r="AG8" s="45" t="s">
        <v>521</v>
      </c>
      <c r="AH8" s="44" t="s">
        <v>516</v>
      </c>
      <c r="AI8" s="44">
        <v>5</v>
      </c>
      <c r="AJ8" s="44">
        <v>5</v>
      </c>
      <c r="AK8" s="44">
        <v>5</v>
      </c>
      <c r="AL8" s="44">
        <v>5</v>
      </c>
      <c r="AM8" s="44">
        <v>5</v>
      </c>
      <c r="AN8" s="44">
        <v>8</v>
      </c>
      <c r="AO8" s="44">
        <v>6</v>
      </c>
      <c r="AP8" s="44"/>
      <c r="AQ8" s="44"/>
      <c r="AR8" s="44"/>
      <c r="AS8" s="44">
        <v>3</v>
      </c>
      <c r="AT8" s="44"/>
      <c r="AU8" s="44">
        <v>6</v>
      </c>
      <c r="AV8" s="44">
        <v>5</v>
      </c>
      <c r="AW8" s="44">
        <v>8</v>
      </c>
      <c r="AX8" s="44">
        <v>15</v>
      </c>
      <c r="AY8" s="44">
        <v>15</v>
      </c>
    </row>
    <row r="9" spans="3:51" ht="11.25">
      <c r="C9" s="201"/>
      <c r="D9" s="41">
        <f>COUNTIF($G9:AY9,"&gt;0")</f>
        <v>45</v>
      </c>
      <c r="E9" s="199"/>
      <c r="F9" s="200" t="s">
        <v>3</v>
      </c>
      <c r="G9" s="42">
        <v>9</v>
      </c>
      <c r="H9" s="42">
        <v>8</v>
      </c>
      <c r="I9" s="42">
        <v>8</v>
      </c>
      <c r="J9" s="42">
        <v>8</v>
      </c>
      <c r="K9" s="42">
        <v>10</v>
      </c>
      <c r="L9" s="42">
        <v>9</v>
      </c>
      <c r="M9" s="42">
        <v>8</v>
      </c>
      <c r="N9" s="42">
        <v>6</v>
      </c>
      <c r="O9" s="42">
        <v>5</v>
      </c>
      <c r="P9" s="42">
        <v>11</v>
      </c>
      <c r="Q9" s="42">
        <v>10</v>
      </c>
      <c r="R9" s="42">
        <v>11</v>
      </c>
      <c r="S9" s="42">
        <v>11</v>
      </c>
      <c r="T9" s="42">
        <v>10</v>
      </c>
      <c r="U9" s="42">
        <v>9</v>
      </c>
      <c r="V9" s="42">
        <v>8</v>
      </c>
      <c r="W9" s="42">
        <v>9</v>
      </c>
      <c r="X9" s="42">
        <v>7</v>
      </c>
      <c r="Y9" s="42">
        <v>15</v>
      </c>
      <c r="Z9" s="42">
        <v>15</v>
      </c>
      <c r="AA9" s="42">
        <v>17</v>
      </c>
      <c r="AB9" s="42">
        <v>16</v>
      </c>
      <c r="AC9" s="42">
        <v>14</v>
      </c>
      <c r="AD9" s="42">
        <v>13</v>
      </c>
      <c r="AE9" s="42">
        <v>13</v>
      </c>
      <c r="AF9" s="42">
        <v>13</v>
      </c>
      <c r="AG9" s="42">
        <v>7</v>
      </c>
      <c r="AH9" s="42">
        <v>7</v>
      </c>
      <c r="AI9" s="42">
        <v>11</v>
      </c>
      <c r="AJ9" s="42">
        <v>11</v>
      </c>
      <c r="AK9" s="42">
        <v>8</v>
      </c>
      <c r="AL9" s="42">
        <v>8</v>
      </c>
      <c r="AM9" s="42">
        <v>8</v>
      </c>
      <c r="AN9" s="42">
        <v>8</v>
      </c>
      <c r="AO9" s="42">
        <v>8</v>
      </c>
      <c r="AP9" s="42">
        <v>11</v>
      </c>
      <c r="AQ9" s="42">
        <v>6</v>
      </c>
      <c r="AR9" s="42">
        <v>6</v>
      </c>
      <c r="AS9" s="42">
        <v>11</v>
      </c>
      <c r="AT9" s="42">
        <v>10</v>
      </c>
      <c r="AU9" s="42">
        <v>15</v>
      </c>
      <c r="AV9" s="42">
        <v>15</v>
      </c>
      <c r="AW9" s="42">
        <v>15</v>
      </c>
      <c r="AX9" s="42">
        <v>16</v>
      </c>
      <c r="AY9" s="42">
        <v>16</v>
      </c>
    </row>
    <row r="10" spans="3:51" ht="37.5">
      <c r="C10" s="202"/>
      <c r="D10" s="37" t="s">
        <v>4</v>
      </c>
      <c r="E10" s="37" t="s">
        <v>5</v>
      </c>
      <c r="F10" s="152" t="s">
        <v>6</v>
      </c>
      <c r="G10" s="37">
        <v>38136</v>
      </c>
      <c r="H10" s="37">
        <v>38136</v>
      </c>
      <c r="I10" s="37">
        <v>38137</v>
      </c>
      <c r="J10" s="37">
        <v>38137</v>
      </c>
      <c r="K10" s="37">
        <v>38144</v>
      </c>
      <c r="L10" s="37">
        <v>38144</v>
      </c>
      <c r="M10" s="37">
        <v>38151</v>
      </c>
      <c r="N10" s="37">
        <v>38151</v>
      </c>
      <c r="O10" s="37">
        <v>38157</v>
      </c>
      <c r="P10" s="37">
        <v>38164</v>
      </c>
      <c r="Q10" s="37">
        <v>38164</v>
      </c>
      <c r="R10" s="37">
        <v>38165</v>
      </c>
      <c r="S10" s="37">
        <v>38165</v>
      </c>
      <c r="T10" s="37">
        <v>38165</v>
      </c>
      <c r="U10" s="37">
        <v>38171</v>
      </c>
      <c r="V10" s="37">
        <v>38171</v>
      </c>
      <c r="W10" s="37">
        <v>38172</v>
      </c>
      <c r="X10" s="37">
        <v>38172</v>
      </c>
      <c r="Y10" s="37">
        <v>38185</v>
      </c>
      <c r="Z10" s="37">
        <v>38185</v>
      </c>
      <c r="AA10" s="37">
        <v>38186</v>
      </c>
      <c r="AB10" s="37">
        <v>38186</v>
      </c>
      <c r="AC10" s="37">
        <v>38192</v>
      </c>
      <c r="AD10" s="37">
        <v>38193</v>
      </c>
      <c r="AE10" s="37">
        <v>38193</v>
      </c>
      <c r="AF10" s="37">
        <v>38193</v>
      </c>
      <c r="AG10" s="37">
        <v>38206</v>
      </c>
      <c r="AH10" s="37">
        <v>38206</v>
      </c>
      <c r="AI10" s="37">
        <v>38207</v>
      </c>
      <c r="AJ10" s="37">
        <v>38207</v>
      </c>
      <c r="AK10" s="37">
        <v>38227</v>
      </c>
      <c r="AL10" s="37">
        <v>38227</v>
      </c>
      <c r="AM10" s="37">
        <v>38227</v>
      </c>
      <c r="AN10" s="37">
        <v>38228</v>
      </c>
      <c r="AO10" s="37">
        <v>38228</v>
      </c>
      <c r="AP10" s="37">
        <v>38234</v>
      </c>
      <c r="AQ10" s="37">
        <v>38235</v>
      </c>
      <c r="AR10" s="37">
        <v>38235</v>
      </c>
      <c r="AS10" s="37">
        <v>38242</v>
      </c>
      <c r="AT10" s="37">
        <v>38263</v>
      </c>
      <c r="AU10" s="37">
        <v>38269</v>
      </c>
      <c r="AV10" s="37">
        <v>38269</v>
      </c>
      <c r="AW10" s="37">
        <v>38269</v>
      </c>
      <c r="AX10" s="37">
        <v>38270</v>
      </c>
      <c r="AY10" s="37">
        <v>38270</v>
      </c>
    </row>
    <row r="11" spans="1:51" ht="11.25">
      <c r="A11" s="28">
        <v>1</v>
      </c>
      <c r="B11" s="28">
        <v>221</v>
      </c>
      <c r="C11" s="203" t="s">
        <v>109</v>
      </c>
      <c r="D11" s="49">
        <f>COUNTA(G11:AY11)</f>
        <v>33</v>
      </c>
      <c r="E11" s="49">
        <f aca="true" t="shared" si="0" ref="E11:E29">MIN(INT(D11/10),3)</f>
        <v>3</v>
      </c>
      <c r="F11" s="62">
        <f>C_S_G($G11:AY11,$G$9:AY$9,csg_table,D$9,E11)</f>
        <v>0.9207708779443254</v>
      </c>
      <c r="G11" s="49">
        <v>2</v>
      </c>
      <c r="H11" s="49">
        <v>4</v>
      </c>
      <c r="I11" s="49">
        <v>3</v>
      </c>
      <c r="J11" s="49">
        <v>4</v>
      </c>
      <c r="K11" s="49"/>
      <c r="L11" s="49"/>
      <c r="M11" s="49"/>
      <c r="N11" s="49"/>
      <c r="O11" s="49"/>
      <c r="P11" s="49">
        <v>2</v>
      </c>
      <c r="Q11" s="49">
        <v>1</v>
      </c>
      <c r="R11" s="49">
        <v>2</v>
      </c>
      <c r="S11" s="49">
        <v>2</v>
      </c>
      <c r="T11" s="49">
        <v>1</v>
      </c>
      <c r="U11" s="49">
        <v>1</v>
      </c>
      <c r="V11" s="49">
        <v>1</v>
      </c>
      <c r="W11" s="49">
        <v>4</v>
      </c>
      <c r="X11" s="49">
        <v>3</v>
      </c>
      <c r="Y11" s="49">
        <v>2</v>
      </c>
      <c r="Z11" s="49">
        <v>2</v>
      </c>
      <c r="AA11" s="49">
        <v>5</v>
      </c>
      <c r="AB11" s="49">
        <v>1</v>
      </c>
      <c r="AC11" s="49">
        <v>6</v>
      </c>
      <c r="AD11" s="49">
        <v>1</v>
      </c>
      <c r="AE11" s="49">
        <v>3</v>
      </c>
      <c r="AF11" s="49">
        <v>5</v>
      </c>
      <c r="AG11" s="49">
        <v>1</v>
      </c>
      <c r="AH11" s="49">
        <v>3</v>
      </c>
      <c r="AI11" s="49">
        <v>2</v>
      </c>
      <c r="AJ11" s="49">
        <v>6</v>
      </c>
      <c r="AK11" s="49">
        <v>1</v>
      </c>
      <c r="AL11" s="49">
        <v>3</v>
      </c>
      <c r="AM11" s="49">
        <v>4</v>
      </c>
      <c r="AN11" s="49">
        <v>1</v>
      </c>
      <c r="AO11" s="49">
        <v>3</v>
      </c>
      <c r="AP11" s="49">
        <v>1</v>
      </c>
      <c r="AQ11" s="49">
        <v>3</v>
      </c>
      <c r="AR11" s="49">
        <v>1</v>
      </c>
      <c r="AS11" s="49"/>
      <c r="AT11" s="49"/>
      <c r="AU11" s="49"/>
      <c r="AV11" s="49"/>
      <c r="AW11" s="49"/>
      <c r="AX11" s="49"/>
      <c r="AY11" s="49"/>
    </row>
    <row r="12" spans="1:51" ht="11.25">
      <c r="A12" s="28">
        <v>2</v>
      </c>
      <c r="B12" s="28">
        <v>231</v>
      </c>
      <c r="C12" s="32" t="s">
        <v>522</v>
      </c>
      <c r="D12" s="33">
        <f>COUNTA(G12:AY12)+1</f>
        <v>26</v>
      </c>
      <c r="E12" s="33">
        <f t="shared" si="0"/>
        <v>2</v>
      </c>
      <c r="F12" s="34">
        <f>C_S_G($G12:AY12,$G$9:AY$9,csg_table,D$9,E12)</f>
        <v>0.8996397323726196</v>
      </c>
      <c r="G12" s="33"/>
      <c r="H12" s="33"/>
      <c r="I12" s="33"/>
      <c r="J12" s="33"/>
      <c r="K12" s="33">
        <v>3</v>
      </c>
      <c r="L12" s="33">
        <v>4</v>
      </c>
      <c r="M12" s="33">
        <v>1</v>
      </c>
      <c r="N12" s="33"/>
      <c r="O12" s="33"/>
      <c r="P12" s="33"/>
      <c r="Q12" s="33"/>
      <c r="R12" s="33"/>
      <c r="S12" s="33"/>
      <c r="T12" s="33"/>
      <c r="U12" s="33">
        <v>7</v>
      </c>
      <c r="V12" s="33">
        <v>2</v>
      </c>
      <c r="W12" s="33">
        <v>1</v>
      </c>
      <c r="X12" s="33">
        <v>4</v>
      </c>
      <c r="Y12" s="33">
        <v>5</v>
      </c>
      <c r="Z12" s="33">
        <v>1</v>
      </c>
      <c r="AA12" s="33">
        <v>1</v>
      </c>
      <c r="AB12" s="33">
        <v>3</v>
      </c>
      <c r="AC12" s="33">
        <v>2</v>
      </c>
      <c r="AD12" s="33">
        <v>3</v>
      </c>
      <c r="AE12" s="33">
        <v>4</v>
      </c>
      <c r="AF12" s="33">
        <v>6</v>
      </c>
      <c r="AG12" s="33"/>
      <c r="AH12" s="33"/>
      <c r="AI12" s="33"/>
      <c r="AJ12" s="33"/>
      <c r="AK12" s="33"/>
      <c r="AL12" s="33"/>
      <c r="AM12" s="33"/>
      <c r="AN12" s="33"/>
      <c r="AO12" s="33"/>
      <c r="AP12" s="33">
        <v>4</v>
      </c>
      <c r="AQ12" s="33">
        <v>2</v>
      </c>
      <c r="AR12" s="33">
        <v>3</v>
      </c>
      <c r="AS12" s="33">
        <v>8</v>
      </c>
      <c r="AT12" s="33">
        <v>4</v>
      </c>
      <c r="AU12" s="33">
        <v>6</v>
      </c>
      <c r="AV12" s="33">
        <v>2</v>
      </c>
      <c r="AW12" s="33">
        <v>2</v>
      </c>
      <c r="AX12" s="33">
        <v>1</v>
      </c>
      <c r="AY12" s="33">
        <v>1</v>
      </c>
    </row>
    <row r="13" spans="1:51" ht="11.25">
      <c r="A13" s="28">
        <v>3</v>
      </c>
      <c r="B13" s="28">
        <v>106</v>
      </c>
      <c r="C13" s="32" t="s">
        <v>122</v>
      </c>
      <c r="D13" s="33">
        <f>COUNTA(G13:AY13)</f>
        <v>27</v>
      </c>
      <c r="E13" s="33">
        <f t="shared" si="0"/>
        <v>2</v>
      </c>
      <c r="F13" s="34">
        <f>C_S_G($G13:AY13,$G$9:AY$9,csg_table,D$9,E13)</f>
        <v>0.8959232613908873</v>
      </c>
      <c r="G13" s="33">
        <v>3</v>
      </c>
      <c r="H13" s="33">
        <v>1</v>
      </c>
      <c r="I13" s="33">
        <v>1</v>
      </c>
      <c r="J13" s="33">
        <v>3</v>
      </c>
      <c r="K13" s="33">
        <v>6</v>
      </c>
      <c r="L13" s="33">
        <v>6</v>
      </c>
      <c r="M13" s="33"/>
      <c r="N13" s="33"/>
      <c r="O13" s="33">
        <v>2</v>
      </c>
      <c r="P13" s="33"/>
      <c r="Q13" s="33"/>
      <c r="R13" s="33"/>
      <c r="S13" s="33"/>
      <c r="T13" s="33"/>
      <c r="U13" s="33"/>
      <c r="V13" s="33"/>
      <c r="W13" s="33"/>
      <c r="X13" s="33"/>
      <c r="Y13" s="33">
        <v>3</v>
      </c>
      <c r="Z13" s="33">
        <v>3</v>
      </c>
      <c r="AA13" s="33">
        <v>3</v>
      </c>
      <c r="AB13" s="33">
        <v>2</v>
      </c>
      <c r="AC13" s="33">
        <v>7</v>
      </c>
      <c r="AD13" s="33">
        <v>2</v>
      </c>
      <c r="AE13" s="33">
        <v>8</v>
      </c>
      <c r="AF13" s="33">
        <v>10</v>
      </c>
      <c r="AG13" s="33">
        <v>6</v>
      </c>
      <c r="AH13" s="33">
        <v>2</v>
      </c>
      <c r="AI13" s="33">
        <v>1</v>
      </c>
      <c r="AJ13" s="33">
        <v>1</v>
      </c>
      <c r="AK13" s="33"/>
      <c r="AL13" s="33"/>
      <c r="AM13" s="33"/>
      <c r="AN13" s="33"/>
      <c r="AO13" s="33"/>
      <c r="AP13" s="33">
        <v>2</v>
      </c>
      <c r="AQ13" s="33"/>
      <c r="AR13" s="33"/>
      <c r="AS13" s="33">
        <v>1</v>
      </c>
      <c r="AT13" s="33">
        <v>1</v>
      </c>
      <c r="AU13" s="33">
        <v>1</v>
      </c>
      <c r="AV13" s="33">
        <v>7</v>
      </c>
      <c r="AW13" s="33">
        <v>3</v>
      </c>
      <c r="AX13" s="33">
        <v>2</v>
      </c>
      <c r="AY13" s="33">
        <v>5</v>
      </c>
    </row>
    <row r="14" spans="1:51" ht="11.25">
      <c r="A14" s="28">
        <v>4</v>
      </c>
      <c r="B14" s="28">
        <v>25</v>
      </c>
      <c r="C14" s="32" t="s">
        <v>121</v>
      </c>
      <c r="D14" s="33">
        <f>COUNTA(G14:AY14)</f>
        <v>45</v>
      </c>
      <c r="E14" s="33">
        <f t="shared" si="0"/>
        <v>3</v>
      </c>
      <c r="F14" s="34">
        <f>C_S_G($G14:AY14,$G$9:AY$9,csg_table,D$9,E14)</f>
        <v>0.8939621507960348</v>
      </c>
      <c r="G14" s="33">
        <v>1</v>
      </c>
      <c r="H14" s="33">
        <v>2</v>
      </c>
      <c r="I14" s="33">
        <v>2</v>
      </c>
      <c r="J14" s="33">
        <v>1</v>
      </c>
      <c r="K14" s="33">
        <v>1</v>
      </c>
      <c r="L14" s="33">
        <v>2</v>
      </c>
      <c r="M14" s="33">
        <v>2</v>
      </c>
      <c r="N14" s="33">
        <v>1</v>
      </c>
      <c r="O14" s="33">
        <v>1</v>
      </c>
      <c r="P14" s="33">
        <v>1</v>
      </c>
      <c r="Q14" s="33">
        <v>3</v>
      </c>
      <c r="R14" s="33">
        <v>1</v>
      </c>
      <c r="S14" s="33">
        <v>3</v>
      </c>
      <c r="T14" s="33">
        <v>3</v>
      </c>
      <c r="U14" s="33">
        <v>3</v>
      </c>
      <c r="V14" s="33">
        <v>4</v>
      </c>
      <c r="W14" s="33">
        <v>2</v>
      </c>
      <c r="X14" s="33">
        <v>1</v>
      </c>
      <c r="Y14" s="33">
        <v>1</v>
      </c>
      <c r="Z14" s="33">
        <v>6</v>
      </c>
      <c r="AA14" s="33">
        <v>6</v>
      </c>
      <c r="AB14" s="33">
        <v>6</v>
      </c>
      <c r="AC14" s="33">
        <v>4</v>
      </c>
      <c r="AD14" s="33">
        <v>4</v>
      </c>
      <c r="AE14" s="33">
        <v>6</v>
      </c>
      <c r="AF14" s="33">
        <v>1</v>
      </c>
      <c r="AG14" s="33">
        <v>5</v>
      </c>
      <c r="AH14" s="33">
        <v>1</v>
      </c>
      <c r="AI14" s="33">
        <v>4</v>
      </c>
      <c r="AJ14" s="33" t="s">
        <v>233</v>
      </c>
      <c r="AK14" s="33">
        <v>4</v>
      </c>
      <c r="AL14" s="33">
        <v>1</v>
      </c>
      <c r="AM14" s="33">
        <v>1</v>
      </c>
      <c r="AN14" s="33">
        <v>7</v>
      </c>
      <c r="AO14" s="33">
        <v>1</v>
      </c>
      <c r="AP14" s="33">
        <v>5</v>
      </c>
      <c r="AQ14" s="33">
        <v>4</v>
      </c>
      <c r="AR14" s="33">
        <v>4</v>
      </c>
      <c r="AS14" s="33">
        <v>4</v>
      </c>
      <c r="AT14" s="33">
        <v>2</v>
      </c>
      <c r="AU14" s="33">
        <v>4</v>
      </c>
      <c r="AV14" s="33">
        <v>3</v>
      </c>
      <c r="AW14" s="33">
        <v>7</v>
      </c>
      <c r="AX14" s="33">
        <v>5</v>
      </c>
      <c r="AY14" s="33">
        <v>3</v>
      </c>
    </row>
    <row r="15" spans="1:51" ht="11.25">
      <c r="A15" s="28">
        <v>5</v>
      </c>
      <c r="B15" s="28">
        <v>49</v>
      </c>
      <c r="C15" s="32" t="s">
        <v>123</v>
      </c>
      <c r="D15" s="33">
        <f>COUNTA(G15:AY15)+1</f>
        <v>34</v>
      </c>
      <c r="E15" s="33">
        <f t="shared" si="0"/>
        <v>3</v>
      </c>
      <c r="F15" s="34">
        <f>C_S_G($G15:AY15,$G$9:AY$9,csg_table,D$9,E15)</f>
        <v>0.8598912588874947</v>
      </c>
      <c r="G15" s="33">
        <v>5</v>
      </c>
      <c r="H15" s="33">
        <v>5</v>
      </c>
      <c r="I15" s="33">
        <v>5</v>
      </c>
      <c r="J15" s="33">
        <v>5</v>
      </c>
      <c r="K15" s="33">
        <v>2</v>
      </c>
      <c r="L15" s="33">
        <v>1</v>
      </c>
      <c r="M15" s="33">
        <v>3</v>
      </c>
      <c r="N15" s="33">
        <v>3</v>
      </c>
      <c r="O15" s="33">
        <v>4</v>
      </c>
      <c r="P15" s="33"/>
      <c r="Q15" s="33"/>
      <c r="R15" s="33"/>
      <c r="S15" s="33"/>
      <c r="T15" s="33"/>
      <c r="U15" s="33"/>
      <c r="V15" s="33"/>
      <c r="W15" s="33"/>
      <c r="X15" s="33"/>
      <c r="Y15" s="33">
        <v>8</v>
      </c>
      <c r="Z15" s="33">
        <v>4</v>
      </c>
      <c r="AA15" s="33">
        <v>7</v>
      </c>
      <c r="AB15" s="33">
        <v>5</v>
      </c>
      <c r="AC15" s="33">
        <v>1</v>
      </c>
      <c r="AD15" s="33">
        <v>5</v>
      </c>
      <c r="AE15" s="33">
        <v>2</v>
      </c>
      <c r="AF15" s="33">
        <v>3</v>
      </c>
      <c r="AG15" s="33"/>
      <c r="AH15" s="33"/>
      <c r="AI15" s="33">
        <v>5</v>
      </c>
      <c r="AJ15" s="33">
        <v>3</v>
      </c>
      <c r="AK15" s="33">
        <v>2</v>
      </c>
      <c r="AL15" s="33">
        <v>2</v>
      </c>
      <c r="AM15" s="33">
        <v>5</v>
      </c>
      <c r="AN15" s="33">
        <v>2</v>
      </c>
      <c r="AO15" s="33">
        <v>2</v>
      </c>
      <c r="AP15" s="33">
        <v>3</v>
      </c>
      <c r="AQ15" s="33">
        <v>1</v>
      </c>
      <c r="AR15" s="33">
        <v>2</v>
      </c>
      <c r="AS15" s="33"/>
      <c r="AT15" s="33">
        <v>6</v>
      </c>
      <c r="AU15" s="33">
        <v>3</v>
      </c>
      <c r="AV15" s="33">
        <v>5</v>
      </c>
      <c r="AW15" s="33">
        <v>6</v>
      </c>
      <c r="AX15" s="33">
        <v>3</v>
      </c>
      <c r="AY15" s="33">
        <v>8</v>
      </c>
    </row>
    <row r="16" spans="1:51" ht="11.25">
      <c r="A16" s="28">
        <v>6</v>
      </c>
      <c r="B16" s="28">
        <v>182</v>
      </c>
      <c r="C16" s="32" t="s">
        <v>523</v>
      </c>
      <c r="D16" s="33">
        <f>COUNTA(G16:AY16)</f>
        <v>27</v>
      </c>
      <c r="E16" s="33">
        <f t="shared" si="0"/>
        <v>2</v>
      </c>
      <c r="F16" s="34">
        <f>C_S_G($G16:AY16,$G$9:AY$9,csg_table,D$9,E16)</f>
        <v>0.8572127139364303</v>
      </c>
      <c r="G16" s="33"/>
      <c r="H16" s="33"/>
      <c r="I16" s="33"/>
      <c r="J16" s="33"/>
      <c r="K16" s="33">
        <v>4</v>
      </c>
      <c r="L16" s="33">
        <v>3</v>
      </c>
      <c r="M16" s="33">
        <v>4</v>
      </c>
      <c r="N16" s="33">
        <v>2</v>
      </c>
      <c r="O16" s="33"/>
      <c r="P16" s="33">
        <v>3</v>
      </c>
      <c r="Q16" s="33">
        <v>2</v>
      </c>
      <c r="R16" s="33">
        <v>3</v>
      </c>
      <c r="S16" s="33" t="s">
        <v>165</v>
      </c>
      <c r="T16" s="33">
        <v>4</v>
      </c>
      <c r="U16" s="33">
        <v>2</v>
      </c>
      <c r="V16" s="33">
        <v>7</v>
      </c>
      <c r="W16" s="33">
        <v>3</v>
      </c>
      <c r="X16" s="33">
        <v>2</v>
      </c>
      <c r="Y16" s="33">
        <v>4</v>
      </c>
      <c r="Z16" s="33">
        <v>5</v>
      </c>
      <c r="AA16" s="33">
        <v>2</v>
      </c>
      <c r="AB16" s="33">
        <v>4</v>
      </c>
      <c r="AC16" s="33">
        <v>9</v>
      </c>
      <c r="AD16" s="33">
        <v>6</v>
      </c>
      <c r="AE16" s="33">
        <v>1</v>
      </c>
      <c r="AF16" s="33">
        <v>4</v>
      </c>
      <c r="AG16" s="33">
        <v>3</v>
      </c>
      <c r="AH16" s="33">
        <v>5</v>
      </c>
      <c r="AI16" s="33">
        <v>3</v>
      </c>
      <c r="AJ16" s="33">
        <v>4</v>
      </c>
      <c r="AK16" s="33"/>
      <c r="AL16" s="33"/>
      <c r="AM16" s="33"/>
      <c r="AN16" s="33"/>
      <c r="AO16" s="33"/>
      <c r="AP16" s="33"/>
      <c r="AQ16" s="33"/>
      <c r="AR16" s="33"/>
      <c r="AS16" s="33"/>
      <c r="AT16" s="33"/>
      <c r="AU16" s="33"/>
      <c r="AV16" s="33"/>
      <c r="AW16" s="33"/>
      <c r="AX16" s="33">
        <v>12</v>
      </c>
      <c r="AY16" s="33">
        <v>2</v>
      </c>
    </row>
    <row r="17" spans="1:51" ht="11.25">
      <c r="A17" s="28">
        <v>7</v>
      </c>
      <c r="B17" s="28">
        <v>176</v>
      </c>
      <c r="C17" s="32" t="s">
        <v>206</v>
      </c>
      <c r="D17" s="33">
        <f>COUNTA(G17:AY17)</f>
        <v>26</v>
      </c>
      <c r="E17" s="33">
        <f t="shared" si="0"/>
        <v>2</v>
      </c>
      <c r="F17" s="34">
        <f>C_S_G($G17:AY17,$G$9:AY$9,csg_table,D$9,E17)</f>
        <v>0.7662141779788839</v>
      </c>
      <c r="G17" s="33"/>
      <c r="H17" s="33"/>
      <c r="I17" s="33"/>
      <c r="J17" s="33"/>
      <c r="K17" s="33"/>
      <c r="L17" s="33"/>
      <c r="M17" s="33"/>
      <c r="N17" s="33"/>
      <c r="O17" s="33">
        <v>3</v>
      </c>
      <c r="P17" s="33"/>
      <c r="Q17" s="33"/>
      <c r="R17" s="33"/>
      <c r="S17" s="33"/>
      <c r="T17" s="33"/>
      <c r="U17" s="33"/>
      <c r="V17" s="33"/>
      <c r="W17" s="33"/>
      <c r="X17" s="33"/>
      <c r="Y17" s="33">
        <v>10</v>
      </c>
      <c r="Z17" s="33">
        <v>9</v>
      </c>
      <c r="AA17" s="33">
        <v>9</v>
      </c>
      <c r="AB17" s="33">
        <v>10</v>
      </c>
      <c r="AC17" s="33">
        <v>11</v>
      </c>
      <c r="AD17" s="33">
        <v>8</v>
      </c>
      <c r="AE17" s="33">
        <v>7</v>
      </c>
      <c r="AF17" s="33">
        <v>7</v>
      </c>
      <c r="AG17" s="33">
        <v>2</v>
      </c>
      <c r="AH17" s="33">
        <v>7</v>
      </c>
      <c r="AI17" s="33">
        <v>8</v>
      </c>
      <c r="AJ17" s="33">
        <v>5</v>
      </c>
      <c r="AK17" s="33">
        <v>3</v>
      </c>
      <c r="AL17" s="33">
        <v>4</v>
      </c>
      <c r="AM17" s="33">
        <v>2</v>
      </c>
      <c r="AN17" s="33">
        <v>4</v>
      </c>
      <c r="AO17" s="33">
        <v>5</v>
      </c>
      <c r="AP17" s="33">
        <v>6</v>
      </c>
      <c r="AQ17" s="33"/>
      <c r="AR17" s="33"/>
      <c r="AS17" s="33">
        <v>2</v>
      </c>
      <c r="AT17" s="33">
        <v>5</v>
      </c>
      <c r="AU17" s="33">
        <v>9</v>
      </c>
      <c r="AV17" s="33">
        <v>8</v>
      </c>
      <c r="AW17" s="33">
        <v>9</v>
      </c>
      <c r="AX17" s="33">
        <v>11</v>
      </c>
      <c r="AY17" s="33">
        <v>11</v>
      </c>
    </row>
    <row r="18" spans="1:51" ht="11.25">
      <c r="A18" s="28">
        <v>8</v>
      </c>
      <c r="B18" s="28">
        <v>70</v>
      </c>
      <c r="C18" s="32" t="s">
        <v>124</v>
      </c>
      <c r="D18" s="33">
        <f>COUNTA(G18:AY18)</f>
        <v>32</v>
      </c>
      <c r="E18" s="33">
        <f t="shared" si="0"/>
        <v>3</v>
      </c>
      <c r="F18" s="34">
        <f>C_S_G($G18:AY18,$G$9:AY$9,csg_table,D$9,E18)</f>
        <v>0.7490713990920347</v>
      </c>
      <c r="G18" s="33">
        <v>6</v>
      </c>
      <c r="H18" s="33">
        <v>3</v>
      </c>
      <c r="I18" s="33">
        <v>8</v>
      </c>
      <c r="J18" s="33">
        <v>7</v>
      </c>
      <c r="K18" s="33">
        <v>5</v>
      </c>
      <c r="L18" s="33">
        <v>7</v>
      </c>
      <c r="M18" s="33"/>
      <c r="N18" s="33"/>
      <c r="O18" s="33"/>
      <c r="P18" s="33">
        <v>7</v>
      </c>
      <c r="Q18" s="33">
        <v>6</v>
      </c>
      <c r="R18" s="33">
        <v>5</v>
      </c>
      <c r="S18" s="33" t="s">
        <v>165</v>
      </c>
      <c r="T18" s="33">
        <v>6</v>
      </c>
      <c r="U18" s="33">
        <v>4</v>
      </c>
      <c r="V18" s="33">
        <v>5</v>
      </c>
      <c r="W18" s="33">
        <v>5</v>
      </c>
      <c r="X18" s="33">
        <v>5</v>
      </c>
      <c r="Y18" s="33">
        <v>7</v>
      </c>
      <c r="Z18" s="33">
        <v>8</v>
      </c>
      <c r="AA18" s="33">
        <v>13</v>
      </c>
      <c r="AB18" s="33">
        <v>9</v>
      </c>
      <c r="AC18" s="33">
        <v>5</v>
      </c>
      <c r="AD18" s="33">
        <v>10</v>
      </c>
      <c r="AE18" s="33">
        <v>10</v>
      </c>
      <c r="AF18" s="33">
        <v>11</v>
      </c>
      <c r="AG18" s="33"/>
      <c r="AH18" s="33"/>
      <c r="AI18" s="33">
        <v>6</v>
      </c>
      <c r="AJ18" s="33">
        <v>2</v>
      </c>
      <c r="AK18" s="33"/>
      <c r="AL18" s="33"/>
      <c r="AM18" s="33"/>
      <c r="AN18" s="33"/>
      <c r="AO18" s="33"/>
      <c r="AP18" s="33"/>
      <c r="AQ18" s="33"/>
      <c r="AR18" s="33"/>
      <c r="AS18" s="33">
        <v>9</v>
      </c>
      <c r="AT18" s="33">
        <v>9</v>
      </c>
      <c r="AU18" s="33">
        <v>2</v>
      </c>
      <c r="AV18" s="33">
        <v>12</v>
      </c>
      <c r="AW18" s="33">
        <v>8</v>
      </c>
      <c r="AX18" s="33">
        <v>16</v>
      </c>
      <c r="AY18" s="33">
        <v>15</v>
      </c>
    </row>
    <row r="19" spans="1:51" ht="11.25">
      <c r="A19" s="28">
        <v>9</v>
      </c>
      <c r="B19" s="28">
        <v>117</v>
      </c>
      <c r="C19" s="32" t="s">
        <v>108</v>
      </c>
      <c r="D19" s="33">
        <f>COUNTA(G19:AY19)</f>
        <v>30</v>
      </c>
      <c r="E19" s="33">
        <f t="shared" si="0"/>
        <v>3</v>
      </c>
      <c r="F19" s="34">
        <f>C_S_G($G19:AY19,$G$9:AY$9,csg_table,D$9,E19)</f>
        <v>0.735909090909091</v>
      </c>
      <c r="G19" s="33"/>
      <c r="H19" s="33"/>
      <c r="I19" s="33"/>
      <c r="J19" s="33"/>
      <c r="K19" s="33"/>
      <c r="L19" s="33"/>
      <c r="M19" s="33"/>
      <c r="N19" s="33"/>
      <c r="O19" s="33"/>
      <c r="P19" s="33">
        <v>11</v>
      </c>
      <c r="Q19" s="33">
        <v>9</v>
      </c>
      <c r="R19" s="33" t="s">
        <v>103</v>
      </c>
      <c r="S19" s="33">
        <v>9</v>
      </c>
      <c r="T19" s="33"/>
      <c r="U19" s="33"/>
      <c r="V19" s="33"/>
      <c r="W19" s="33"/>
      <c r="X19" s="33"/>
      <c r="Y19" s="33">
        <v>6</v>
      </c>
      <c r="Z19" s="33">
        <v>7</v>
      </c>
      <c r="AA19" s="33">
        <v>4</v>
      </c>
      <c r="AB19" s="33"/>
      <c r="AC19" s="33">
        <v>3</v>
      </c>
      <c r="AD19" s="33">
        <v>7</v>
      </c>
      <c r="AE19" s="33">
        <v>5</v>
      </c>
      <c r="AF19" s="33">
        <v>2</v>
      </c>
      <c r="AG19" s="33">
        <v>4</v>
      </c>
      <c r="AH19" s="33">
        <v>4</v>
      </c>
      <c r="AI19" s="33">
        <v>7</v>
      </c>
      <c r="AJ19" s="33">
        <v>7</v>
      </c>
      <c r="AK19" s="33">
        <v>6</v>
      </c>
      <c r="AL19" s="33">
        <v>7</v>
      </c>
      <c r="AM19" s="33">
        <v>8</v>
      </c>
      <c r="AN19" s="33">
        <v>8</v>
      </c>
      <c r="AO19" s="33">
        <v>8</v>
      </c>
      <c r="AP19" s="33">
        <v>9</v>
      </c>
      <c r="AQ19" s="33">
        <v>5</v>
      </c>
      <c r="AR19" s="33">
        <v>5</v>
      </c>
      <c r="AS19" s="33">
        <v>10</v>
      </c>
      <c r="AT19" s="33">
        <v>8</v>
      </c>
      <c r="AU19" s="33">
        <v>13</v>
      </c>
      <c r="AV19" s="33">
        <v>11</v>
      </c>
      <c r="AW19" s="33">
        <v>14</v>
      </c>
      <c r="AX19" s="33">
        <v>10</v>
      </c>
      <c r="AY19" s="33">
        <v>16</v>
      </c>
    </row>
    <row r="20" spans="1:51" ht="11.25">
      <c r="A20" s="28">
        <v>10</v>
      </c>
      <c r="B20" s="28">
        <v>142</v>
      </c>
      <c r="C20" s="32" t="s">
        <v>126</v>
      </c>
      <c r="D20" s="33">
        <f>COUNTA(G20:AY20)+1</f>
        <v>29</v>
      </c>
      <c r="E20" s="33">
        <f t="shared" si="0"/>
        <v>2</v>
      </c>
      <c r="F20" s="34">
        <f>C_S_G($G20:AY20,$G$9:AY$9,csg_table,D$9,E20)</f>
        <v>0.7213504517356157</v>
      </c>
      <c r="G20" s="33"/>
      <c r="H20" s="33"/>
      <c r="I20" s="33"/>
      <c r="J20" s="33"/>
      <c r="K20" s="33"/>
      <c r="L20" s="33"/>
      <c r="M20" s="33">
        <v>7</v>
      </c>
      <c r="N20" s="33">
        <v>5</v>
      </c>
      <c r="O20" s="33"/>
      <c r="P20" s="33"/>
      <c r="Q20" s="33"/>
      <c r="R20" s="33"/>
      <c r="S20" s="33"/>
      <c r="T20" s="33"/>
      <c r="U20" s="33">
        <v>6</v>
      </c>
      <c r="V20" s="33">
        <v>6</v>
      </c>
      <c r="W20" s="33">
        <v>8</v>
      </c>
      <c r="X20" s="33">
        <v>7</v>
      </c>
      <c r="Y20" s="33">
        <v>13</v>
      </c>
      <c r="Z20" s="33">
        <v>10</v>
      </c>
      <c r="AA20" s="33">
        <v>10</v>
      </c>
      <c r="AB20" s="33">
        <v>7</v>
      </c>
      <c r="AC20" s="33">
        <v>8</v>
      </c>
      <c r="AD20" s="33">
        <v>9</v>
      </c>
      <c r="AE20" s="33">
        <v>12</v>
      </c>
      <c r="AF20" s="33">
        <v>12</v>
      </c>
      <c r="AG20" s="33"/>
      <c r="AH20" s="33"/>
      <c r="AI20" s="33"/>
      <c r="AJ20" s="33"/>
      <c r="AK20" s="33">
        <v>7</v>
      </c>
      <c r="AL20" s="33">
        <v>6</v>
      </c>
      <c r="AM20" s="33">
        <v>6</v>
      </c>
      <c r="AN20" s="33">
        <v>3</v>
      </c>
      <c r="AO20" s="33">
        <v>4</v>
      </c>
      <c r="AP20" s="33">
        <v>10</v>
      </c>
      <c r="AQ20" s="33">
        <v>6</v>
      </c>
      <c r="AR20" s="33">
        <v>6</v>
      </c>
      <c r="AS20" s="33">
        <v>5</v>
      </c>
      <c r="AT20" s="33"/>
      <c r="AU20" s="33">
        <v>11</v>
      </c>
      <c r="AV20" s="33">
        <v>9</v>
      </c>
      <c r="AW20" s="33">
        <v>11</v>
      </c>
      <c r="AX20" s="33">
        <v>7</v>
      </c>
      <c r="AY20" s="33">
        <v>7</v>
      </c>
    </row>
    <row r="21" spans="1:51" ht="11.25">
      <c r="A21" s="28">
        <v>11</v>
      </c>
      <c r="B21" s="28">
        <v>38</v>
      </c>
      <c r="C21" s="32" t="s">
        <v>107</v>
      </c>
      <c r="D21" s="33">
        <f>COUNTA(G21:AY21)</f>
        <v>29</v>
      </c>
      <c r="E21" s="33">
        <f t="shared" si="0"/>
        <v>2</v>
      </c>
      <c r="F21" s="34">
        <f>C_S_G($G21:AY21,$G$9:AY$9,csg_table,D$9,E21)</f>
        <v>0.7044948820649756</v>
      </c>
      <c r="G21" s="33" t="s">
        <v>103</v>
      </c>
      <c r="H21" s="33"/>
      <c r="I21" s="33"/>
      <c r="J21" s="33"/>
      <c r="K21" s="33">
        <v>10</v>
      </c>
      <c r="L21" s="33"/>
      <c r="M21" s="33" t="s">
        <v>103</v>
      </c>
      <c r="N21" s="33"/>
      <c r="O21" s="33"/>
      <c r="P21" s="33"/>
      <c r="Q21" s="33"/>
      <c r="R21" s="33"/>
      <c r="S21" s="33"/>
      <c r="T21" s="33"/>
      <c r="U21" s="33"/>
      <c r="V21" s="33"/>
      <c r="W21" s="33">
        <v>9</v>
      </c>
      <c r="X21" s="33"/>
      <c r="Y21" s="33">
        <v>15</v>
      </c>
      <c r="Z21" s="33">
        <v>15</v>
      </c>
      <c r="AA21" s="33">
        <v>17</v>
      </c>
      <c r="AB21" s="33">
        <v>16</v>
      </c>
      <c r="AC21" s="33">
        <v>10</v>
      </c>
      <c r="AD21" s="33">
        <v>12</v>
      </c>
      <c r="AE21" s="33">
        <v>11</v>
      </c>
      <c r="AF21" s="33">
        <v>9</v>
      </c>
      <c r="AG21" s="33">
        <v>7</v>
      </c>
      <c r="AH21" s="33">
        <v>6</v>
      </c>
      <c r="AI21" s="33">
        <v>10</v>
      </c>
      <c r="AJ21" s="33" t="s">
        <v>233</v>
      </c>
      <c r="AK21" s="33">
        <v>5</v>
      </c>
      <c r="AL21" s="33">
        <v>5</v>
      </c>
      <c r="AM21" s="33">
        <v>3</v>
      </c>
      <c r="AN21" s="33">
        <v>6</v>
      </c>
      <c r="AO21" s="33">
        <v>7</v>
      </c>
      <c r="AP21" s="33">
        <v>7</v>
      </c>
      <c r="AQ21" s="33"/>
      <c r="AR21" s="33"/>
      <c r="AS21" s="33">
        <v>3</v>
      </c>
      <c r="AT21" s="33">
        <v>7</v>
      </c>
      <c r="AU21" s="33">
        <v>8</v>
      </c>
      <c r="AV21" s="33">
        <v>10</v>
      </c>
      <c r="AW21" s="33">
        <v>10</v>
      </c>
      <c r="AX21" s="33">
        <v>9</v>
      </c>
      <c r="AY21" s="33">
        <v>6</v>
      </c>
    </row>
    <row r="22" spans="1:51" ht="11.25">
      <c r="A22" s="28">
        <v>12</v>
      </c>
      <c r="B22" s="28">
        <v>41</v>
      </c>
      <c r="C22" s="32" t="s">
        <v>125</v>
      </c>
      <c r="D22" s="33">
        <f>COUNTA(G22:AY22)+1</f>
        <v>24</v>
      </c>
      <c r="E22" s="33">
        <f t="shared" si="0"/>
        <v>2</v>
      </c>
      <c r="F22" s="34">
        <f>C_S_G($G22:AY22,$G$9:AY$9,csg_table,D$9,E22)</f>
        <v>0.7026865671641791</v>
      </c>
      <c r="G22" s="33">
        <v>7</v>
      </c>
      <c r="H22" s="33">
        <v>7</v>
      </c>
      <c r="I22" s="33">
        <v>7</v>
      </c>
      <c r="J22" s="33">
        <v>2</v>
      </c>
      <c r="K22" s="33">
        <v>7</v>
      </c>
      <c r="L22" s="33">
        <v>8</v>
      </c>
      <c r="M22" s="33">
        <v>6</v>
      </c>
      <c r="N22" s="33">
        <v>6</v>
      </c>
      <c r="O22" s="33"/>
      <c r="P22" s="33"/>
      <c r="Q22" s="33"/>
      <c r="R22" s="33"/>
      <c r="S22" s="33"/>
      <c r="T22" s="33"/>
      <c r="U22" s="33">
        <v>5</v>
      </c>
      <c r="V22" s="33">
        <v>8</v>
      </c>
      <c r="W22" s="33">
        <v>6</v>
      </c>
      <c r="X22" s="33">
        <v>6</v>
      </c>
      <c r="Y22" s="33">
        <v>9</v>
      </c>
      <c r="Z22" s="33">
        <v>13</v>
      </c>
      <c r="AA22" s="33">
        <v>11</v>
      </c>
      <c r="AB22" s="33">
        <v>14</v>
      </c>
      <c r="AC22" s="33">
        <v>12</v>
      </c>
      <c r="AD22" s="33"/>
      <c r="AE22" s="33"/>
      <c r="AF22" s="33"/>
      <c r="AG22" s="33"/>
      <c r="AH22" s="33"/>
      <c r="AI22" s="33">
        <v>11</v>
      </c>
      <c r="AJ22" s="33">
        <v>8</v>
      </c>
      <c r="AK22" s="33"/>
      <c r="AL22" s="33"/>
      <c r="AM22" s="33"/>
      <c r="AN22" s="33"/>
      <c r="AO22" s="33"/>
      <c r="AP22" s="33"/>
      <c r="AQ22" s="33"/>
      <c r="AR22" s="33"/>
      <c r="AS22" s="33">
        <v>6</v>
      </c>
      <c r="AT22" s="33">
        <v>10</v>
      </c>
      <c r="AU22" s="33"/>
      <c r="AV22" s="33"/>
      <c r="AW22" s="33"/>
      <c r="AX22" s="33">
        <v>15</v>
      </c>
      <c r="AY22" s="33">
        <v>14</v>
      </c>
    </row>
    <row r="23" spans="1:51" ht="11.25">
      <c r="A23" s="28">
        <v>13</v>
      </c>
      <c r="B23" s="28">
        <v>197</v>
      </c>
      <c r="C23" s="204" t="s">
        <v>524</v>
      </c>
      <c r="D23" s="35">
        <f aca="true" t="shared" si="1" ref="D23:D29">COUNTA(G23:AY23)</f>
        <v>24</v>
      </c>
      <c r="E23" s="35">
        <f t="shared" si="0"/>
        <v>2</v>
      </c>
      <c r="F23" s="36">
        <f>C_S_G($G23:AY23,$G$9:AY$9,csg_table,D$9,E23)</f>
        <v>0.7018599562363238</v>
      </c>
      <c r="G23" s="35">
        <v>4</v>
      </c>
      <c r="H23" s="35">
        <v>8</v>
      </c>
      <c r="I23" s="35">
        <v>4</v>
      </c>
      <c r="J23" s="35">
        <v>6</v>
      </c>
      <c r="K23" s="35">
        <v>8</v>
      </c>
      <c r="L23" s="35">
        <v>5</v>
      </c>
      <c r="M23" s="35">
        <v>5</v>
      </c>
      <c r="N23" s="35">
        <v>4</v>
      </c>
      <c r="O23" s="35">
        <v>5</v>
      </c>
      <c r="P23" s="35"/>
      <c r="Q23" s="35"/>
      <c r="R23" s="35"/>
      <c r="S23" s="35"/>
      <c r="T23" s="35"/>
      <c r="U23" s="35"/>
      <c r="V23" s="35"/>
      <c r="W23" s="35"/>
      <c r="X23" s="35"/>
      <c r="Y23" s="35">
        <v>11</v>
      </c>
      <c r="Z23" s="35">
        <v>11</v>
      </c>
      <c r="AA23" s="35">
        <v>15</v>
      </c>
      <c r="AB23" s="35">
        <v>12</v>
      </c>
      <c r="AC23" s="35">
        <v>13</v>
      </c>
      <c r="AD23" s="35">
        <v>11</v>
      </c>
      <c r="AE23" s="35">
        <v>9</v>
      </c>
      <c r="AF23" s="35">
        <v>8</v>
      </c>
      <c r="AG23" s="35"/>
      <c r="AH23" s="35"/>
      <c r="AI23" s="35"/>
      <c r="AJ23" s="35"/>
      <c r="AK23" s="35"/>
      <c r="AL23" s="35"/>
      <c r="AM23" s="35"/>
      <c r="AN23" s="35"/>
      <c r="AO23" s="35"/>
      <c r="AP23" s="35">
        <v>8</v>
      </c>
      <c r="AQ23" s="35"/>
      <c r="AR23" s="35"/>
      <c r="AS23" s="35">
        <v>7</v>
      </c>
      <c r="AT23" s="35"/>
      <c r="AU23" s="35">
        <v>12</v>
      </c>
      <c r="AV23" s="35">
        <v>13</v>
      </c>
      <c r="AW23" s="35">
        <v>13</v>
      </c>
      <c r="AX23" s="35">
        <v>13</v>
      </c>
      <c r="AY23" s="35">
        <v>12</v>
      </c>
    </row>
    <row r="24" spans="1:51" ht="11.25">
      <c r="A24" s="28">
        <v>14</v>
      </c>
      <c r="B24" s="28">
        <v>26</v>
      </c>
      <c r="C24" s="32" t="s">
        <v>128</v>
      </c>
      <c r="D24" s="33">
        <f t="shared" si="1"/>
        <v>9</v>
      </c>
      <c r="E24" s="33">
        <f t="shared" si="0"/>
        <v>0</v>
      </c>
      <c r="F24" s="34">
        <f>C_S_G($G24:AY24,$G$9:AY$9,csg_table,D$9,E24)</f>
        <v>0.7688622754491018</v>
      </c>
      <c r="G24" s="33"/>
      <c r="H24" s="33"/>
      <c r="I24" s="33"/>
      <c r="J24" s="33"/>
      <c r="K24" s="33"/>
      <c r="L24" s="33"/>
      <c r="M24" s="33"/>
      <c r="N24" s="33"/>
      <c r="O24" s="33"/>
      <c r="P24" s="33"/>
      <c r="Q24" s="33"/>
      <c r="R24" s="33"/>
      <c r="S24" s="33"/>
      <c r="T24" s="33"/>
      <c r="U24" s="33"/>
      <c r="V24" s="33"/>
      <c r="W24" s="33"/>
      <c r="X24" s="33"/>
      <c r="Y24" s="33"/>
      <c r="Z24" s="33"/>
      <c r="AA24" s="33">
        <v>14</v>
      </c>
      <c r="AB24" s="33">
        <v>8</v>
      </c>
      <c r="AC24" s="33"/>
      <c r="AD24" s="33"/>
      <c r="AE24" s="33"/>
      <c r="AF24" s="33"/>
      <c r="AG24" s="33"/>
      <c r="AH24" s="33"/>
      <c r="AI24" s="33">
        <v>9</v>
      </c>
      <c r="AJ24" s="33">
        <v>9</v>
      </c>
      <c r="AK24" s="33"/>
      <c r="AL24" s="33"/>
      <c r="AM24" s="33"/>
      <c r="AN24" s="33"/>
      <c r="AO24" s="33"/>
      <c r="AP24" s="33"/>
      <c r="AQ24" s="33"/>
      <c r="AR24" s="33"/>
      <c r="AS24" s="33"/>
      <c r="AT24" s="33"/>
      <c r="AU24" s="33">
        <v>10</v>
      </c>
      <c r="AV24" s="33">
        <v>6</v>
      </c>
      <c r="AW24" s="33">
        <v>1</v>
      </c>
      <c r="AX24" s="33">
        <v>6</v>
      </c>
      <c r="AY24" s="33">
        <v>4</v>
      </c>
    </row>
    <row r="25" spans="1:51" ht="11.25">
      <c r="A25" s="28">
        <v>15</v>
      </c>
      <c r="B25" s="28">
        <v>54</v>
      </c>
      <c r="C25" s="32" t="s">
        <v>525</v>
      </c>
      <c r="D25" s="33">
        <f t="shared" si="1"/>
        <v>12</v>
      </c>
      <c r="E25" s="33">
        <f t="shared" si="0"/>
        <v>1</v>
      </c>
      <c r="F25" s="34">
        <f>C_S_G($G25:AY25,$G$9:AY$9,csg_table,D$9,E25)</f>
        <v>0.767762460233298</v>
      </c>
      <c r="G25" s="33">
        <v>8</v>
      </c>
      <c r="H25" s="33">
        <v>6</v>
      </c>
      <c r="I25" s="33">
        <v>6</v>
      </c>
      <c r="J25" s="33">
        <v>8</v>
      </c>
      <c r="K25" s="33"/>
      <c r="L25" s="33"/>
      <c r="M25" s="33"/>
      <c r="N25" s="33"/>
      <c r="O25" s="33"/>
      <c r="P25" s="33"/>
      <c r="Q25" s="33"/>
      <c r="R25" s="33"/>
      <c r="S25" s="33"/>
      <c r="T25" s="33"/>
      <c r="U25" s="33"/>
      <c r="V25" s="33"/>
      <c r="W25" s="33"/>
      <c r="X25" s="33"/>
      <c r="Y25" s="33"/>
      <c r="Z25" s="33"/>
      <c r="AA25" s="33">
        <v>12</v>
      </c>
      <c r="AB25" s="33">
        <v>11</v>
      </c>
      <c r="AC25" s="33"/>
      <c r="AD25" s="33"/>
      <c r="AE25" s="33"/>
      <c r="AF25" s="33"/>
      <c r="AG25" s="33"/>
      <c r="AH25" s="33"/>
      <c r="AI25" s="33"/>
      <c r="AJ25" s="33"/>
      <c r="AK25" s="33"/>
      <c r="AL25" s="33"/>
      <c r="AM25" s="33"/>
      <c r="AN25" s="33"/>
      <c r="AO25" s="33"/>
      <c r="AP25" s="33"/>
      <c r="AQ25" s="33"/>
      <c r="AR25" s="33"/>
      <c r="AS25" s="33"/>
      <c r="AT25" s="33">
        <v>3</v>
      </c>
      <c r="AU25" s="33">
        <v>5</v>
      </c>
      <c r="AV25" s="33">
        <v>1</v>
      </c>
      <c r="AW25" s="33">
        <v>4</v>
      </c>
      <c r="AX25" s="33">
        <v>14</v>
      </c>
      <c r="AY25" s="33">
        <v>10</v>
      </c>
    </row>
    <row r="26" spans="1:51" ht="11.25">
      <c r="A26" s="28">
        <v>16</v>
      </c>
      <c r="B26" s="28">
        <v>183</v>
      </c>
      <c r="C26" s="32" t="s">
        <v>526</v>
      </c>
      <c r="D26" s="33">
        <f t="shared" si="1"/>
        <v>16</v>
      </c>
      <c r="E26" s="33">
        <f t="shared" si="0"/>
        <v>1</v>
      </c>
      <c r="F26" s="34">
        <f>C_S_G($G26:AY26,$G$9:AY$9,csg_table,D$9,E26)</f>
        <v>0.6729411764705883</v>
      </c>
      <c r="G26" s="33"/>
      <c r="H26" s="33"/>
      <c r="I26" s="33"/>
      <c r="J26" s="33"/>
      <c r="K26" s="33">
        <v>9</v>
      </c>
      <c r="L26" s="33">
        <v>9</v>
      </c>
      <c r="M26" s="33"/>
      <c r="N26" s="33"/>
      <c r="O26" s="33"/>
      <c r="P26" s="33"/>
      <c r="Q26" s="33"/>
      <c r="R26" s="33">
        <v>10</v>
      </c>
      <c r="S26" s="33">
        <v>7</v>
      </c>
      <c r="T26" s="33">
        <v>10</v>
      </c>
      <c r="U26" s="33">
        <v>9</v>
      </c>
      <c r="V26" s="33"/>
      <c r="W26" s="33"/>
      <c r="X26" s="33"/>
      <c r="Y26" s="33">
        <v>12</v>
      </c>
      <c r="Z26" s="33">
        <v>12</v>
      </c>
      <c r="AA26" s="33">
        <v>8</v>
      </c>
      <c r="AB26" s="33">
        <v>13</v>
      </c>
      <c r="AC26" s="33">
        <v>14</v>
      </c>
      <c r="AD26" s="33">
        <v>13</v>
      </c>
      <c r="AE26" s="33">
        <v>13</v>
      </c>
      <c r="AF26" s="33">
        <v>13</v>
      </c>
      <c r="AG26" s="33"/>
      <c r="AH26" s="33"/>
      <c r="AI26" s="33"/>
      <c r="AJ26" s="33"/>
      <c r="AK26" s="33"/>
      <c r="AL26" s="33"/>
      <c r="AM26" s="33"/>
      <c r="AN26" s="33">
        <v>5</v>
      </c>
      <c r="AO26" s="33">
        <v>6</v>
      </c>
      <c r="AP26" s="33"/>
      <c r="AQ26" s="33"/>
      <c r="AR26" s="33"/>
      <c r="AS26" s="33"/>
      <c r="AT26" s="33"/>
      <c r="AU26" s="33"/>
      <c r="AV26" s="33"/>
      <c r="AW26" s="33"/>
      <c r="AX26" s="33"/>
      <c r="AY26" s="33"/>
    </row>
    <row r="27" spans="1:51" ht="11.25">
      <c r="A27" s="28">
        <v>17</v>
      </c>
      <c r="B27" s="28">
        <v>16</v>
      </c>
      <c r="C27" s="32" t="s">
        <v>127</v>
      </c>
      <c r="D27" s="33">
        <f t="shared" si="1"/>
        <v>16</v>
      </c>
      <c r="E27" s="33">
        <f t="shared" si="0"/>
        <v>1</v>
      </c>
      <c r="F27" s="34">
        <f>C_S_G($G27:AY27,$G$9:AY$9,csg_table,D$9,E27)</f>
        <v>0.6666666666666666</v>
      </c>
      <c r="G27" s="33"/>
      <c r="H27" s="33"/>
      <c r="I27" s="33"/>
      <c r="J27" s="33"/>
      <c r="K27" s="33"/>
      <c r="L27" s="33"/>
      <c r="M27" s="33"/>
      <c r="N27" s="33"/>
      <c r="O27" s="33"/>
      <c r="P27" s="33"/>
      <c r="Q27" s="33"/>
      <c r="R27" s="33"/>
      <c r="S27" s="33"/>
      <c r="T27" s="33"/>
      <c r="U27" s="33">
        <v>8</v>
      </c>
      <c r="V27" s="33">
        <v>3</v>
      </c>
      <c r="W27" s="33"/>
      <c r="X27" s="33"/>
      <c r="Y27" s="33">
        <v>14</v>
      </c>
      <c r="Z27" s="33">
        <v>14</v>
      </c>
      <c r="AA27" s="33">
        <v>16</v>
      </c>
      <c r="AB27" s="33">
        <v>15</v>
      </c>
      <c r="AC27" s="33"/>
      <c r="AD27" s="33"/>
      <c r="AE27" s="33"/>
      <c r="AF27" s="33"/>
      <c r="AG27" s="33"/>
      <c r="AH27" s="33"/>
      <c r="AI27" s="33"/>
      <c r="AJ27" s="33"/>
      <c r="AK27" s="33">
        <v>8</v>
      </c>
      <c r="AL27" s="33">
        <v>8</v>
      </c>
      <c r="AM27" s="33">
        <v>7</v>
      </c>
      <c r="AN27" s="33"/>
      <c r="AO27" s="33"/>
      <c r="AP27" s="33">
        <v>11</v>
      </c>
      <c r="AQ27" s="33"/>
      <c r="AR27" s="33"/>
      <c r="AS27" s="33">
        <v>11</v>
      </c>
      <c r="AT27" s="33"/>
      <c r="AU27" s="33">
        <v>14</v>
      </c>
      <c r="AV27" s="33">
        <v>14</v>
      </c>
      <c r="AW27" s="33">
        <v>12</v>
      </c>
      <c r="AX27" s="33">
        <v>8</v>
      </c>
      <c r="AY27" s="33">
        <v>13</v>
      </c>
    </row>
    <row r="28" spans="1:51" ht="11.25">
      <c r="A28" s="28">
        <v>18</v>
      </c>
      <c r="B28" s="28">
        <v>5</v>
      </c>
      <c r="C28" s="32" t="s">
        <v>527</v>
      </c>
      <c r="D28" s="33">
        <f t="shared" si="1"/>
        <v>3</v>
      </c>
      <c r="E28" s="33">
        <f t="shared" si="0"/>
        <v>0</v>
      </c>
      <c r="F28" s="34">
        <f>C_S_G($G28:AY28,$G$9:AY$9,csg_table,D$9,E28)</f>
        <v>0.6161971830985915</v>
      </c>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v>15</v>
      </c>
      <c r="AV28" s="33">
        <v>15</v>
      </c>
      <c r="AW28" s="33" t="s">
        <v>103</v>
      </c>
      <c r="AX28" s="33"/>
      <c r="AY28" s="33"/>
    </row>
    <row r="29" spans="1:51" ht="11.25">
      <c r="A29" s="28">
        <v>19</v>
      </c>
      <c r="B29" s="28">
        <v>22</v>
      </c>
      <c r="C29" s="204" t="s">
        <v>528</v>
      </c>
      <c r="D29" s="35">
        <f t="shared" si="1"/>
        <v>0</v>
      </c>
      <c r="E29" s="35">
        <f t="shared" si="0"/>
        <v>0</v>
      </c>
      <c r="F29" s="36">
        <f>C_S_G($G29:AY29,$G$9:AY$9,csg_table,D$9,E29)</f>
        <v>0</v>
      </c>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row>
    <row r="30" ht="11.25">
      <c r="E30" s="25"/>
    </row>
    <row r="31" ht="11.25">
      <c r="C31" s="28" t="s">
        <v>529</v>
      </c>
    </row>
    <row r="32" ht="11.25">
      <c r="C32" s="28" t="s">
        <v>530</v>
      </c>
    </row>
    <row r="34" ht="11.25">
      <c r="D34" s="211"/>
    </row>
    <row r="39" spans="3:6" ht="11.25">
      <c r="C39" s="205">
        <v>221</v>
      </c>
      <c r="F39" s="27">
        <f>C39*1</f>
        <v>221</v>
      </c>
    </row>
    <row r="40" spans="3:6" ht="11.25">
      <c r="C40" s="206">
        <v>231</v>
      </c>
      <c r="F40" s="27">
        <f aca="true" t="shared" si="2" ref="F40:F57">C40*1</f>
        <v>231</v>
      </c>
    </row>
    <row r="41" spans="3:6" ht="11.25">
      <c r="C41" s="206">
        <v>106</v>
      </c>
      <c r="F41" s="27">
        <f t="shared" si="2"/>
        <v>106</v>
      </c>
    </row>
    <row r="42" spans="3:6" ht="11.25">
      <c r="C42" s="206">
        <v>25</v>
      </c>
      <c r="F42" s="27">
        <f t="shared" si="2"/>
        <v>25</v>
      </c>
    </row>
    <row r="43" spans="3:6" ht="11.25">
      <c r="C43" s="206">
        <v>49</v>
      </c>
      <c r="F43" s="27">
        <f t="shared" si="2"/>
        <v>49</v>
      </c>
    </row>
    <row r="44" spans="3:6" ht="11.25">
      <c r="C44" s="206">
        <v>182</v>
      </c>
      <c r="F44" s="27">
        <f t="shared" si="2"/>
        <v>182</v>
      </c>
    </row>
    <row r="45" spans="3:6" ht="11.25">
      <c r="C45" s="206">
        <v>176</v>
      </c>
      <c r="F45" s="27">
        <f t="shared" si="2"/>
        <v>176</v>
      </c>
    </row>
    <row r="46" spans="3:6" ht="11.25">
      <c r="C46" s="206">
        <v>70</v>
      </c>
      <c r="F46" s="27">
        <f t="shared" si="2"/>
        <v>70</v>
      </c>
    </row>
    <row r="47" spans="3:6" ht="11.25">
      <c r="C47" s="206">
        <v>117</v>
      </c>
      <c r="F47" s="27">
        <f t="shared" si="2"/>
        <v>117</v>
      </c>
    </row>
    <row r="48" spans="3:6" ht="11.25">
      <c r="C48" s="206">
        <v>142</v>
      </c>
      <c r="F48" s="27">
        <f t="shared" si="2"/>
        <v>142</v>
      </c>
    </row>
    <row r="49" spans="3:6" ht="11.25">
      <c r="C49" s="206">
        <v>38</v>
      </c>
      <c r="F49" s="27">
        <f t="shared" si="2"/>
        <v>38</v>
      </c>
    </row>
    <row r="50" spans="3:6" ht="11.25">
      <c r="C50" s="206">
        <v>41</v>
      </c>
      <c r="F50" s="27">
        <f t="shared" si="2"/>
        <v>41</v>
      </c>
    </row>
    <row r="51" spans="3:6" ht="11.25">
      <c r="C51" s="207">
        <v>197</v>
      </c>
      <c r="F51" s="27">
        <f t="shared" si="2"/>
        <v>197</v>
      </c>
    </row>
    <row r="52" spans="3:6" ht="11.25">
      <c r="C52" s="206">
        <v>26</v>
      </c>
      <c r="F52" s="27">
        <f t="shared" si="2"/>
        <v>26</v>
      </c>
    </row>
    <row r="53" spans="3:6" ht="11.25">
      <c r="C53" s="206">
        <v>54</v>
      </c>
      <c r="F53" s="27">
        <f t="shared" si="2"/>
        <v>54</v>
      </c>
    </row>
    <row r="54" spans="3:6" ht="11.25">
      <c r="C54" s="206">
        <v>183</v>
      </c>
      <c r="F54" s="27">
        <f t="shared" si="2"/>
        <v>183</v>
      </c>
    </row>
    <row r="55" spans="3:6" ht="11.25">
      <c r="C55" s="206">
        <v>16</v>
      </c>
      <c r="F55" s="27">
        <f t="shared" si="2"/>
        <v>16</v>
      </c>
    </row>
    <row r="56" spans="3:6" ht="11.25">
      <c r="C56" s="206">
        <v>5</v>
      </c>
      <c r="F56" s="27">
        <f t="shared" si="2"/>
        <v>5</v>
      </c>
    </row>
    <row r="57" spans="3:6" ht="11.25">
      <c r="C57" s="207">
        <v>22</v>
      </c>
      <c r="F57" s="27">
        <f t="shared" si="2"/>
        <v>22</v>
      </c>
    </row>
  </sheetData>
  <sheetProtection/>
  <mergeCells count="9">
    <mergeCell ref="G5:J5"/>
    <mergeCell ref="K5:L5"/>
    <mergeCell ref="M5:N5"/>
    <mergeCell ref="U5:X5"/>
    <mergeCell ref="AU5:AY5"/>
    <mergeCell ref="Y5:AF5"/>
    <mergeCell ref="AG5:AJ5"/>
    <mergeCell ref="AK5:AO5"/>
    <mergeCell ref="AP5:AR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0">
    <pageSetUpPr fitToPage="1"/>
  </sheetPr>
  <dimension ref="B2:O26"/>
  <sheetViews>
    <sheetView zoomScalePageLayoutView="0" workbookViewId="0" topLeftCell="A2">
      <selection activeCell="A2" sqref="A2"/>
    </sheetView>
  </sheetViews>
  <sheetFormatPr defaultColWidth="9.140625" defaultRowHeight="12.75"/>
  <cols>
    <col min="1" max="1" width="2.57421875" style="3" customWidth="1"/>
    <col min="2" max="2" width="5.28125" style="11" customWidth="1"/>
    <col min="3" max="3" width="4.7109375" style="11" bestFit="1" customWidth="1"/>
    <col min="4" max="4" width="18.8515625" style="3" customWidth="1"/>
    <col min="5" max="5" width="27.00390625" style="3" customWidth="1"/>
    <col min="6" max="6" width="4.57421875" style="11" bestFit="1" customWidth="1"/>
    <col min="7" max="15" width="6.28125" style="11" customWidth="1"/>
    <col min="16" max="16384" width="9.140625" style="3" customWidth="1"/>
  </cols>
  <sheetData>
    <row r="2" ht="15.75">
      <c r="B2" s="22" t="s">
        <v>192</v>
      </c>
    </row>
    <row r="3" ht="12.75">
      <c r="B3" s="71" t="s">
        <v>193</v>
      </c>
    </row>
    <row r="4" spans="2:15" s="28" customFormat="1" ht="12.75" customHeight="1">
      <c r="B4" s="55" t="s">
        <v>205</v>
      </c>
      <c r="C4" s="25"/>
      <c r="F4" s="25"/>
      <c r="G4" s="25"/>
      <c r="H4" s="25"/>
      <c r="I4" s="25"/>
      <c r="J4" s="25"/>
      <c r="K4" s="25"/>
      <c r="L4" s="25"/>
      <c r="M4" s="25"/>
      <c r="N4" s="25"/>
      <c r="O4" s="25"/>
    </row>
    <row r="5" spans="2:15" s="28" customFormat="1" ht="12.75" customHeight="1">
      <c r="B5" s="25"/>
      <c r="C5" s="25"/>
      <c r="F5" s="25"/>
      <c r="G5" s="66">
        <v>38185</v>
      </c>
      <c r="H5" s="63"/>
      <c r="I5" s="66">
        <v>38186</v>
      </c>
      <c r="J5" s="63"/>
      <c r="K5" s="66">
        <v>38192</v>
      </c>
      <c r="L5" s="54"/>
      <c r="M5" s="68">
        <v>38193</v>
      </c>
      <c r="N5" s="63"/>
      <c r="O5" s="25"/>
    </row>
    <row r="6" spans="2:15" s="28" customFormat="1" ht="11.25">
      <c r="B6" s="42"/>
      <c r="C6" s="42" t="s">
        <v>195</v>
      </c>
      <c r="D6" s="42" t="s">
        <v>158</v>
      </c>
      <c r="E6" s="42" t="s">
        <v>194</v>
      </c>
      <c r="F6" s="42"/>
      <c r="G6" s="42" t="s">
        <v>95</v>
      </c>
      <c r="H6" s="42" t="s">
        <v>96</v>
      </c>
      <c r="I6" s="42" t="s">
        <v>97</v>
      </c>
      <c r="J6" s="42" t="s">
        <v>106</v>
      </c>
      <c r="K6" s="42" t="s">
        <v>160</v>
      </c>
      <c r="L6" s="51" t="s">
        <v>196</v>
      </c>
      <c r="M6" s="51" t="s">
        <v>197</v>
      </c>
      <c r="N6" s="51" t="s">
        <v>198</v>
      </c>
      <c r="O6" s="42" t="s">
        <v>98</v>
      </c>
    </row>
    <row r="7" spans="2:15" s="28" customFormat="1" ht="11.25">
      <c r="B7" s="57">
        <v>1</v>
      </c>
      <c r="C7" s="41">
        <v>221</v>
      </c>
      <c r="D7" s="64" t="s">
        <v>172</v>
      </c>
      <c r="E7" s="64" t="s">
        <v>173</v>
      </c>
      <c r="F7" s="59" t="s">
        <v>117</v>
      </c>
      <c r="G7" s="59">
        <v>2</v>
      </c>
      <c r="H7" s="41">
        <v>2</v>
      </c>
      <c r="I7" s="41">
        <v>5</v>
      </c>
      <c r="J7" s="41">
        <v>1</v>
      </c>
      <c r="K7" s="41">
        <v>6</v>
      </c>
      <c r="L7" s="41">
        <v>1</v>
      </c>
      <c r="M7" s="41">
        <v>3</v>
      </c>
      <c r="N7" s="41">
        <v>5</v>
      </c>
      <c r="O7" s="39">
        <v>19</v>
      </c>
    </row>
    <row r="8" spans="2:15" s="28" customFormat="1" ht="11.25">
      <c r="B8" s="57">
        <v>2</v>
      </c>
      <c r="C8" s="41">
        <v>231</v>
      </c>
      <c r="D8" s="64" t="s">
        <v>199</v>
      </c>
      <c r="E8" s="64" t="s">
        <v>203</v>
      </c>
      <c r="F8" s="59" t="s">
        <v>117</v>
      </c>
      <c r="G8" s="59">
        <v>5</v>
      </c>
      <c r="H8" s="41">
        <v>1</v>
      </c>
      <c r="I8" s="41">
        <v>1</v>
      </c>
      <c r="J8" s="41">
        <v>3</v>
      </c>
      <c r="K8" s="41">
        <v>2</v>
      </c>
      <c r="L8" s="41">
        <v>3</v>
      </c>
      <c r="M8" s="41">
        <v>4</v>
      </c>
      <c r="N8" s="41">
        <v>6</v>
      </c>
      <c r="O8" s="41">
        <v>19</v>
      </c>
    </row>
    <row r="9" spans="2:15" s="28" customFormat="1" ht="11.25">
      <c r="B9" s="57">
        <v>3</v>
      </c>
      <c r="C9" s="41">
        <v>182</v>
      </c>
      <c r="D9" s="64" t="s">
        <v>178</v>
      </c>
      <c r="E9" s="64"/>
      <c r="F9" s="59" t="s">
        <v>117</v>
      </c>
      <c r="G9" s="59">
        <v>4</v>
      </c>
      <c r="H9" s="41">
        <v>5</v>
      </c>
      <c r="I9" s="41">
        <v>2</v>
      </c>
      <c r="J9" s="41">
        <v>4</v>
      </c>
      <c r="K9" s="41">
        <v>9</v>
      </c>
      <c r="L9" s="41">
        <v>6</v>
      </c>
      <c r="M9" s="41">
        <v>1</v>
      </c>
      <c r="N9" s="41">
        <v>4</v>
      </c>
      <c r="O9" s="41">
        <v>26</v>
      </c>
    </row>
    <row r="10" spans="2:15" s="28" customFormat="1" ht="11.25">
      <c r="B10" s="57">
        <v>4</v>
      </c>
      <c r="C10" s="41">
        <v>49</v>
      </c>
      <c r="D10" s="64" t="s">
        <v>179</v>
      </c>
      <c r="E10" s="64" t="s">
        <v>180</v>
      </c>
      <c r="F10" s="59" t="s">
        <v>117</v>
      </c>
      <c r="G10" s="59">
        <v>8</v>
      </c>
      <c r="H10" s="41">
        <v>4</v>
      </c>
      <c r="I10" s="41">
        <v>7</v>
      </c>
      <c r="J10" s="41">
        <v>5</v>
      </c>
      <c r="K10" s="41">
        <v>1</v>
      </c>
      <c r="L10" s="41">
        <v>5</v>
      </c>
      <c r="M10" s="41">
        <v>2</v>
      </c>
      <c r="N10" s="41">
        <v>3</v>
      </c>
      <c r="O10" s="41">
        <v>27</v>
      </c>
    </row>
    <row r="11" spans="2:15" s="28" customFormat="1" ht="11.25">
      <c r="B11" s="57">
        <v>5</v>
      </c>
      <c r="C11" s="41">
        <v>25</v>
      </c>
      <c r="D11" s="64" t="s">
        <v>176</v>
      </c>
      <c r="E11" s="64" t="s">
        <v>177</v>
      </c>
      <c r="F11" s="59" t="s">
        <v>117</v>
      </c>
      <c r="G11" s="59">
        <v>1</v>
      </c>
      <c r="H11" s="41">
        <v>6</v>
      </c>
      <c r="I11" s="41">
        <v>6</v>
      </c>
      <c r="J11" s="41">
        <v>6</v>
      </c>
      <c r="K11" s="41">
        <v>4</v>
      </c>
      <c r="L11" s="41">
        <v>4</v>
      </c>
      <c r="M11" s="41">
        <v>6</v>
      </c>
      <c r="N11" s="41">
        <v>1</v>
      </c>
      <c r="O11" s="41">
        <v>28</v>
      </c>
    </row>
    <row r="12" spans="2:15" s="28" customFormat="1" ht="11.25">
      <c r="B12" s="57">
        <v>6</v>
      </c>
      <c r="C12" s="41">
        <v>106</v>
      </c>
      <c r="D12" s="64" t="s">
        <v>174</v>
      </c>
      <c r="E12" s="64" t="s">
        <v>175</v>
      </c>
      <c r="F12" s="59" t="s">
        <v>117</v>
      </c>
      <c r="G12" s="59">
        <v>3</v>
      </c>
      <c r="H12" s="41">
        <v>3</v>
      </c>
      <c r="I12" s="41">
        <v>3</v>
      </c>
      <c r="J12" s="41">
        <v>2</v>
      </c>
      <c r="K12" s="41">
        <v>7</v>
      </c>
      <c r="L12" s="41">
        <v>2</v>
      </c>
      <c r="M12" s="41">
        <v>8</v>
      </c>
      <c r="N12" s="41">
        <v>10</v>
      </c>
      <c r="O12" s="41">
        <v>28</v>
      </c>
    </row>
    <row r="13" spans="2:15" s="28" customFormat="1" ht="11.25">
      <c r="B13" s="57">
        <v>7</v>
      </c>
      <c r="C13" s="41">
        <v>117</v>
      </c>
      <c r="D13" s="64" t="s">
        <v>181</v>
      </c>
      <c r="E13" s="64" t="s">
        <v>182</v>
      </c>
      <c r="F13" s="59" t="s">
        <v>117</v>
      </c>
      <c r="G13" s="59">
        <v>6</v>
      </c>
      <c r="H13" s="41">
        <v>7</v>
      </c>
      <c r="I13" s="41">
        <v>4</v>
      </c>
      <c r="J13" s="41" t="s">
        <v>94</v>
      </c>
      <c r="K13" s="41">
        <v>3</v>
      </c>
      <c r="L13" s="41">
        <v>7</v>
      </c>
      <c r="M13" s="41">
        <v>5</v>
      </c>
      <c r="N13" s="41">
        <v>2</v>
      </c>
      <c r="O13" s="41">
        <v>34</v>
      </c>
    </row>
    <row r="14" spans="2:15" s="28" customFormat="1" ht="11.25">
      <c r="B14" s="57">
        <v>8</v>
      </c>
      <c r="C14" s="41">
        <v>70</v>
      </c>
      <c r="D14" s="64" t="s">
        <v>200</v>
      </c>
      <c r="E14" s="64" t="s">
        <v>201</v>
      </c>
      <c r="F14" s="59" t="s">
        <v>117</v>
      </c>
      <c r="G14" s="59">
        <v>7</v>
      </c>
      <c r="H14" s="41">
        <v>8</v>
      </c>
      <c r="I14" s="41">
        <v>13</v>
      </c>
      <c r="J14" s="41">
        <v>9</v>
      </c>
      <c r="K14" s="41">
        <v>5</v>
      </c>
      <c r="L14" s="41">
        <v>10</v>
      </c>
      <c r="M14" s="41">
        <v>10</v>
      </c>
      <c r="N14" s="41">
        <v>11</v>
      </c>
      <c r="O14" s="41">
        <v>60</v>
      </c>
    </row>
    <row r="15" spans="2:15" s="28" customFormat="1" ht="11.25">
      <c r="B15" s="57">
        <v>9</v>
      </c>
      <c r="C15" s="41">
        <v>176</v>
      </c>
      <c r="D15" s="64" t="s">
        <v>207</v>
      </c>
      <c r="E15" s="64" t="s">
        <v>204</v>
      </c>
      <c r="F15" s="59" t="s">
        <v>117</v>
      </c>
      <c r="G15" s="59">
        <v>10</v>
      </c>
      <c r="H15" s="41">
        <v>9</v>
      </c>
      <c r="I15" s="41">
        <v>9</v>
      </c>
      <c r="J15" s="41">
        <v>10</v>
      </c>
      <c r="K15" s="41">
        <v>11</v>
      </c>
      <c r="L15" s="41">
        <v>8</v>
      </c>
      <c r="M15" s="41">
        <v>7</v>
      </c>
      <c r="N15" s="41">
        <v>7</v>
      </c>
      <c r="O15" s="41">
        <v>60</v>
      </c>
    </row>
    <row r="16" spans="2:15" s="28" customFormat="1" ht="11.25">
      <c r="B16" s="57">
        <v>10</v>
      </c>
      <c r="C16" s="41">
        <v>142</v>
      </c>
      <c r="D16" s="64" t="s">
        <v>184</v>
      </c>
      <c r="E16" s="64"/>
      <c r="F16" s="59" t="s">
        <v>117</v>
      </c>
      <c r="G16" s="59">
        <v>13</v>
      </c>
      <c r="H16" s="41">
        <v>10</v>
      </c>
      <c r="I16" s="41">
        <v>10</v>
      </c>
      <c r="J16" s="41">
        <v>7</v>
      </c>
      <c r="K16" s="41">
        <v>8</v>
      </c>
      <c r="L16" s="41">
        <v>9</v>
      </c>
      <c r="M16" s="41">
        <v>12</v>
      </c>
      <c r="N16" s="41">
        <v>12</v>
      </c>
      <c r="O16" s="41">
        <v>68</v>
      </c>
    </row>
    <row r="17" spans="2:15" s="28" customFormat="1" ht="11.25">
      <c r="B17" s="57">
        <v>11</v>
      </c>
      <c r="C17" s="41">
        <v>197</v>
      </c>
      <c r="D17" s="64" t="s">
        <v>183</v>
      </c>
      <c r="E17" s="64"/>
      <c r="F17" s="59" t="s">
        <v>117</v>
      </c>
      <c r="G17" s="59">
        <v>11</v>
      </c>
      <c r="H17" s="41">
        <v>11</v>
      </c>
      <c r="I17" s="41">
        <v>15</v>
      </c>
      <c r="J17" s="41">
        <v>12</v>
      </c>
      <c r="K17" s="41">
        <v>13</v>
      </c>
      <c r="L17" s="41">
        <v>11</v>
      </c>
      <c r="M17" s="41">
        <v>9</v>
      </c>
      <c r="N17" s="41">
        <v>8</v>
      </c>
      <c r="O17" s="41">
        <v>75</v>
      </c>
    </row>
    <row r="18" spans="2:15" s="28" customFormat="1" ht="11.25">
      <c r="B18" s="57">
        <v>12</v>
      </c>
      <c r="C18" s="41">
        <v>183</v>
      </c>
      <c r="D18" s="64" t="s">
        <v>185</v>
      </c>
      <c r="E18" s="64" t="s">
        <v>186</v>
      </c>
      <c r="F18" s="59" t="s">
        <v>117</v>
      </c>
      <c r="G18" s="59">
        <v>12</v>
      </c>
      <c r="H18" s="41">
        <v>12</v>
      </c>
      <c r="I18" s="41">
        <v>8</v>
      </c>
      <c r="J18" s="41">
        <v>13</v>
      </c>
      <c r="K18" s="41">
        <v>14</v>
      </c>
      <c r="L18" s="41">
        <v>13</v>
      </c>
      <c r="M18" s="41">
        <v>13</v>
      </c>
      <c r="N18" s="41">
        <v>13</v>
      </c>
      <c r="O18" s="41">
        <v>84</v>
      </c>
    </row>
    <row r="19" spans="2:15" s="28" customFormat="1" ht="11.25">
      <c r="B19" s="57">
        <v>13</v>
      </c>
      <c r="C19" s="41">
        <v>38</v>
      </c>
      <c r="D19" s="40" t="s">
        <v>208</v>
      </c>
      <c r="E19" s="64" t="s">
        <v>189</v>
      </c>
      <c r="F19" s="59" t="s">
        <v>117</v>
      </c>
      <c r="G19" s="59">
        <v>15</v>
      </c>
      <c r="H19" s="41">
        <v>15</v>
      </c>
      <c r="I19" s="41">
        <v>17</v>
      </c>
      <c r="J19" s="41">
        <v>16</v>
      </c>
      <c r="K19" s="41">
        <v>10</v>
      </c>
      <c r="L19" s="41">
        <v>12</v>
      </c>
      <c r="M19" s="41">
        <v>11</v>
      </c>
      <c r="N19" s="41">
        <v>9</v>
      </c>
      <c r="O19" s="41">
        <v>88</v>
      </c>
    </row>
    <row r="20" spans="2:15" s="28" customFormat="1" ht="11.25">
      <c r="B20" s="57">
        <v>14</v>
      </c>
      <c r="C20" s="41">
        <v>41</v>
      </c>
      <c r="D20" s="64" t="s">
        <v>202</v>
      </c>
      <c r="E20" s="64"/>
      <c r="F20" s="59" t="s">
        <v>117</v>
      </c>
      <c r="G20" s="59">
        <v>9</v>
      </c>
      <c r="H20" s="41">
        <v>13</v>
      </c>
      <c r="I20" s="41">
        <v>11</v>
      </c>
      <c r="J20" s="41">
        <v>14</v>
      </c>
      <c r="K20" s="41">
        <v>12</v>
      </c>
      <c r="L20" s="41" t="s">
        <v>166</v>
      </c>
      <c r="M20" s="41" t="s">
        <v>166</v>
      </c>
      <c r="N20" s="41" t="s">
        <v>166</v>
      </c>
      <c r="O20" s="41">
        <v>97</v>
      </c>
    </row>
    <row r="21" spans="2:15" s="28" customFormat="1" ht="11.25">
      <c r="B21" s="57">
        <v>15</v>
      </c>
      <c r="C21" s="41">
        <v>16</v>
      </c>
      <c r="D21" s="64" t="s">
        <v>187</v>
      </c>
      <c r="E21" s="64" t="s">
        <v>188</v>
      </c>
      <c r="F21" s="59" t="s">
        <v>117</v>
      </c>
      <c r="G21" s="59">
        <v>14</v>
      </c>
      <c r="H21" s="41">
        <v>14</v>
      </c>
      <c r="I21" s="41">
        <v>16</v>
      </c>
      <c r="J21" s="41">
        <v>15</v>
      </c>
      <c r="K21" s="41" t="s">
        <v>166</v>
      </c>
      <c r="L21" s="41" t="s">
        <v>166</v>
      </c>
      <c r="M21" s="41" t="s">
        <v>166</v>
      </c>
      <c r="N21" s="41" t="s">
        <v>166</v>
      </c>
      <c r="O21" s="41">
        <v>116</v>
      </c>
    </row>
    <row r="22" spans="2:15" ht="12.75">
      <c r="B22" s="57">
        <v>16</v>
      </c>
      <c r="C22" s="41">
        <v>26</v>
      </c>
      <c r="D22" s="64" t="s">
        <v>190</v>
      </c>
      <c r="E22" s="64"/>
      <c r="F22" s="59" t="s">
        <v>117</v>
      </c>
      <c r="G22" s="59" t="s">
        <v>166</v>
      </c>
      <c r="H22" s="41" t="s">
        <v>166</v>
      </c>
      <c r="I22" s="41">
        <v>14</v>
      </c>
      <c r="J22" s="41">
        <v>8</v>
      </c>
      <c r="K22" s="41" t="s">
        <v>166</v>
      </c>
      <c r="L22" s="41" t="s">
        <v>166</v>
      </c>
      <c r="M22" s="41" t="s">
        <v>166</v>
      </c>
      <c r="N22" s="41" t="s">
        <v>166</v>
      </c>
      <c r="O22" s="41">
        <v>117</v>
      </c>
    </row>
    <row r="23" spans="2:15" ht="12.75">
      <c r="B23" s="58">
        <v>17</v>
      </c>
      <c r="C23" s="51">
        <v>54</v>
      </c>
      <c r="D23" s="65" t="s">
        <v>191</v>
      </c>
      <c r="E23" s="65"/>
      <c r="F23" s="60" t="s">
        <v>117</v>
      </c>
      <c r="G23" s="60" t="s">
        <v>166</v>
      </c>
      <c r="H23" s="51" t="s">
        <v>166</v>
      </c>
      <c r="I23" s="51">
        <v>12</v>
      </c>
      <c r="J23" s="51">
        <v>11</v>
      </c>
      <c r="K23" s="51" t="s">
        <v>166</v>
      </c>
      <c r="L23" s="51" t="s">
        <v>166</v>
      </c>
      <c r="M23" s="51" t="s">
        <v>166</v>
      </c>
      <c r="N23" s="51" t="s">
        <v>166</v>
      </c>
      <c r="O23" s="51">
        <v>118</v>
      </c>
    </row>
    <row r="25" ht="12.75">
      <c r="B25" s="23" t="s">
        <v>230</v>
      </c>
    </row>
    <row r="26" ht="12.75">
      <c r="B26" s="46" t="s">
        <v>229</v>
      </c>
    </row>
  </sheetData>
  <sheetProtection/>
  <hyperlinks>
    <hyperlink ref="B26" r:id="rId1" display="http://www.larchmontyc.org/racing/2004-RW-one-design-results-3.html"/>
  </hyperlinks>
  <printOptions horizontalCentered="1" verticalCentered="1"/>
  <pageMargins left="0.75" right="0.75" top="1" bottom="1" header="0.5" footer="0.5"/>
  <pageSetup fitToHeight="1" fitToWidth="1" horizontalDpi="600" verticalDpi="600" orientation="landscape" scale="96" r:id="rId2"/>
</worksheet>
</file>

<file path=xl/worksheets/sheet18.xml><?xml version="1.0" encoding="utf-8"?>
<worksheet xmlns="http://schemas.openxmlformats.org/spreadsheetml/2006/main" xmlns:r="http://schemas.openxmlformats.org/officeDocument/2006/relationships">
  <sheetPr codeName="Sheet11"/>
  <dimension ref="B2:H19"/>
  <sheetViews>
    <sheetView zoomScalePageLayoutView="0" workbookViewId="0" topLeftCell="A1">
      <selection activeCell="A2" sqref="A1:IV16384"/>
    </sheetView>
  </sheetViews>
  <sheetFormatPr defaultColWidth="9.140625" defaultRowHeight="12.75"/>
  <cols>
    <col min="1" max="1" width="9.140625" style="3" customWidth="1"/>
    <col min="2" max="2" width="9.140625" style="11" customWidth="1"/>
    <col min="3" max="3" width="39.140625" style="3" bestFit="1" customWidth="1"/>
    <col min="4" max="8" width="8.140625" style="11" customWidth="1"/>
    <col min="9" max="16384" width="9.140625" style="3" customWidth="1"/>
  </cols>
  <sheetData>
    <row r="2" ht="15.75">
      <c r="B2" s="22" t="s">
        <v>231</v>
      </c>
    </row>
    <row r="3" ht="12.75">
      <c r="B3" s="71" t="s">
        <v>226</v>
      </c>
    </row>
    <row r="4" spans="2:8" s="28" customFormat="1" ht="12.75" customHeight="1">
      <c r="B4" s="55" t="s">
        <v>232</v>
      </c>
      <c r="D4" s="25"/>
      <c r="E4" s="25"/>
      <c r="F4" s="25"/>
      <c r="G4" s="25"/>
      <c r="H4" s="25"/>
    </row>
    <row r="5" spans="2:8" s="28" customFormat="1" ht="12.75" customHeight="1">
      <c r="B5" s="25"/>
      <c r="D5" s="25"/>
      <c r="E5" s="25"/>
      <c r="F5" s="25"/>
      <c r="G5" s="25"/>
      <c r="H5" s="25"/>
    </row>
    <row r="6" spans="2:8" s="28" customFormat="1" ht="11.25">
      <c r="B6" s="42"/>
      <c r="C6" s="39" t="s">
        <v>158</v>
      </c>
      <c r="D6" s="42" t="s">
        <v>95</v>
      </c>
      <c r="E6" s="42" t="s">
        <v>96</v>
      </c>
      <c r="F6" s="42" t="s">
        <v>97</v>
      </c>
      <c r="G6" s="42" t="s">
        <v>106</v>
      </c>
      <c r="H6" s="42" t="s">
        <v>98</v>
      </c>
    </row>
    <row r="7" spans="2:8" s="28" customFormat="1" ht="11.25">
      <c r="B7" s="57">
        <v>1</v>
      </c>
      <c r="C7" s="38" t="s">
        <v>122</v>
      </c>
      <c r="D7" s="59">
        <v>6</v>
      </c>
      <c r="E7" s="41">
        <v>2</v>
      </c>
      <c r="F7" s="41">
        <v>1</v>
      </c>
      <c r="G7" s="41">
        <v>1</v>
      </c>
      <c r="H7" s="41">
        <f>SUM(D7:G7)</f>
        <v>10</v>
      </c>
    </row>
    <row r="8" spans="2:8" s="28" customFormat="1" ht="11.25">
      <c r="B8" s="57">
        <v>2</v>
      </c>
      <c r="C8" s="40" t="s">
        <v>109</v>
      </c>
      <c r="D8" s="59">
        <v>1</v>
      </c>
      <c r="E8" s="41">
        <v>3</v>
      </c>
      <c r="F8" s="41">
        <v>2</v>
      </c>
      <c r="G8" s="41">
        <v>6</v>
      </c>
      <c r="H8" s="41">
        <f>SUM(D8:G8)</f>
        <v>12</v>
      </c>
    </row>
    <row r="9" spans="2:8" s="28" customFormat="1" ht="11.25">
      <c r="B9" s="57">
        <v>3</v>
      </c>
      <c r="C9" s="40" t="s">
        <v>169</v>
      </c>
      <c r="D9" s="59">
        <v>3</v>
      </c>
      <c r="E9" s="41">
        <v>5</v>
      </c>
      <c r="F9" s="41">
        <v>3</v>
      </c>
      <c r="G9" s="41">
        <v>4</v>
      </c>
      <c r="H9" s="41">
        <f>SUM(D9:G9)</f>
        <v>15</v>
      </c>
    </row>
    <row r="10" spans="2:8" s="28" customFormat="1" ht="11.25">
      <c r="B10" s="57">
        <v>4</v>
      </c>
      <c r="C10" s="40" t="s">
        <v>121</v>
      </c>
      <c r="D10" s="59">
        <v>5</v>
      </c>
      <c r="E10" s="41">
        <v>1</v>
      </c>
      <c r="F10" s="41">
        <v>4</v>
      </c>
      <c r="G10" s="41" t="s">
        <v>233</v>
      </c>
      <c r="H10" s="41">
        <f>SUM(D10:G10)+12</f>
        <v>22</v>
      </c>
    </row>
    <row r="11" spans="2:8" s="28" customFormat="1" ht="11.25">
      <c r="B11" s="57">
        <v>5</v>
      </c>
      <c r="C11" s="40" t="s">
        <v>206</v>
      </c>
      <c r="D11" s="59">
        <v>2</v>
      </c>
      <c r="E11" s="41">
        <v>7</v>
      </c>
      <c r="F11" s="41">
        <v>8</v>
      </c>
      <c r="G11" s="41">
        <v>5</v>
      </c>
      <c r="H11" s="41">
        <f>SUM(D11:G11)</f>
        <v>22</v>
      </c>
    </row>
    <row r="12" spans="2:8" s="28" customFormat="1" ht="11.25">
      <c r="B12" s="57">
        <v>6</v>
      </c>
      <c r="C12" s="40" t="s">
        <v>108</v>
      </c>
      <c r="D12" s="59">
        <v>4</v>
      </c>
      <c r="E12" s="41">
        <v>4</v>
      </c>
      <c r="F12" s="41">
        <v>7</v>
      </c>
      <c r="G12" s="41">
        <v>7</v>
      </c>
      <c r="H12" s="41">
        <f>SUM(D12:G12)</f>
        <v>22</v>
      </c>
    </row>
    <row r="13" spans="2:8" s="28" customFormat="1" ht="11.25">
      <c r="B13" s="57">
        <v>7</v>
      </c>
      <c r="C13" s="40" t="s">
        <v>124</v>
      </c>
      <c r="D13" s="59" t="s">
        <v>94</v>
      </c>
      <c r="E13" s="41" t="s">
        <v>94</v>
      </c>
      <c r="F13" s="41">
        <v>6</v>
      </c>
      <c r="G13" s="41">
        <v>2</v>
      </c>
      <c r="H13" s="41">
        <f>24+F13+G13</f>
        <v>32</v>
      </c>
    </row>
    <row r="14" spans="2:8" s="28" customFormat="1" ht="11.25">
      <c r="B14" s="57">
        <v>8</v>
      </c>
      <c r="C14" s="40" t="s">
        <v>123</v>
      </c>
      <c r="D14" s="59" t="s">
        <v>94</v>
      </c>
      <c r="E14" s="41" t="s">
        <v>94</v>
      </c>
      <c r="F14" s="41">
        <v>5</v>
      </c>
      <c r="G14" s="41">
        <v>3</v>
      </c>
      <c r="H14" s="41">
        <f>24+F14+G14</f>
        <v>32</v>
      </c>
    </row>
    <row r="15" spans="2:8" s="28" customFormat="1" ht="11.25">
      <c r="B15" s="57">
        <v>9</v>
      </c>
      <c r="C15" s="40" t="s">
        <v>107</v>
      </c>
      <c r="D15" s="59">
        <v>7</v>
      </c>
      <c r="E15" s="41">
        <v>6</v>
      </c>
      <c r="F15" s="41">
        <v>10</v>
      </c>
      <c r="G15" s="41" t="s">
        <v>233</v>
      </c>
      <c r="H15" s="41">
        <f>SUM(D15:G15)+12</f>
        <v>35</v>
      </c>
    </row>
    <row r="16" spans="2:8" s="28" customFormat="1" ht="11.25">
      <c r="B16" s="57">
        <v>10</v>
      </c>
      <c r="C16" s="40" t="s">
        <v>128</v>
      </c>
      <c r="D16" s="59" t="s">
        <v>94</v>
      </c>
      <c r="E16" s="41" t="s">
        <v>94</v>
      </c>
      <c r="F16" s="41">
        <v>9</v>
      </c>
      <c r="G16" s="41">
        <v>9</v>
      </c>
      <c r="H16" s="41">
        <f>24+F16+G16</f>
        <v>42</v>
      </c>
    </row>
    <row r="17" spans="2:8" s="28" customFormat="1" ht="11.25">
      <c r="B17" s="58">
        <v>11</v>
      </c>
      <c r="C17" s="61" t="s">
        <v>125</v>
      </c>
      <c r="D17" s="60" t="s">
        <v>94</v>
      </c>
      <c r="E17" s="51" t="s">
        <v>94</v>
      </c>
      <c r="F17" s="51">
        <v>11</v>
      </c>
      <c r="G17" s="51">
        <v>8</v>
      </c>
      <c r="H17" s="51">
        <f>24+F17+G17</f>
        <v>43</v>
      </c>
    </row>
    <row r="19" ht="12.75">
      <c r="B19" s="55" t="s">
        <v>234</v>
      </c>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12"/>
  <dimension ref="B2:I21"/>
  <sheetViews>
    <sheetView zoomScalePageLayoutView="0" workbookViewId="0" topLeftCell="A1">
      <selection activeCell="A1" sqref="A1"/>
    </sheetView>
  </sheetViews>
  <sheetFormatPr defaultColWidth="9.140625" defaultRowHeight="12.75"/>
  <cols>
    <col min="1" max="1" width="3.8515625" style="3" customWidth="1"/>
    <col min="2" max="3" width="9.140625" style="11" customWidth="1"/>
    <col min="4" max="4" width="34.00390625" style="3" customWidth="1"/>
    <col min="5" max="9" width="8.140625" style="11" customWidth="1"/>
    <col min="10" max="16384" width="9.140625" style="3" customWidth="1"/>
  </cols>
  <sheetData>
    <row r="2" spans="2:3" ht="15.75">
      <c r="B2" s="22" t="s">
        <v>225</v>
      </c>
      <c r="C2" s="22"/>
    </row>
    <row r="3" spans="2:3" ht="12.75">
      <c r="B3" s="71" t="s">
        <v>226</v>
      </c>
      <c r="C3" s="71"/>
    </row>
    <row r="4" spans="2:9" s="28" customFormat="1" ht="12.75" customHeight="1">
      <c r="B4" s="55" t="s">
        <v>337</v>
      </c>
      <c r="C4" s="55"/>
      <c r="E4" s="25"/>
      <c r="F4" s="25"/>
      <c r="G4" s="25"/>
      <c r="H4" s="25"/>
      <c r="I4" s="25"/>
    </row>
    <row r="5" spans="2:9" s="28" customFormat="1" ht="12.75" customHeight="1">
      <c r="B5" s="25"/>
      <c r="C5" s="25"/>
      <c r="E5" s="25"/>
      <c r="F5" s="25"/>
      <c r="G5" s="25"/>
      <c r="H5" s="25"/>
      <c r="I5" s="25"/>
    </row>
    <row r="6" spans="2:9" s="28" customFormat="1" ht="11.25">
      <c r="B6" s="42"/>
      <c r="C6" s="42" t="s">
        <v>195</v>
      </c>
      <c r="D6" s="42" t="s">
        <v>158</v>
      </c>
      <c r="E6" s="42" t="s">
        <v>95</v>
      </c>
      <c r="F6" s="42" t="s">
        <v>96</v>
      </c>
      <c r="G6" s="42" t="s">
        <v>97</v>
      </c>
      <c r="H6" s="42" t="s">
        <v>106</v>
      </c>
      <c r="I6" s="42" t="s">
        <v>98</v>
      </c>
    </row>
    <row r="7" spans="2:9" s="28" customFormat="1" ht="11.25">
      <c r="B7" s="57">
        <v>1</v>
      </c>
      <c r="C7" s="57">
        <v>23</v>
      </c>
      <c r="D7" s="38" t="str">
        <f>VLOOKUP(C7,'2005Season'!$C$11:$D$35,2,FALSE)</f>
        <v>Com Crocker/ Kurt Weisenfluh</v>
      </c>
      <c r="E7" s="59">
        <v>1</v>
      </c>
      <c r="F7" s="41">
        <v>4</v>
      </c>
      <c r="G7" s="41">
        <v>2</v>
      </c>
      <c r="H7" s="41">
        <v>1</v>
      </c>
      <c r="I7" s="41">
        <v>8</v>
      </c>
    </row>
    <row r="8" spans="2:9" s="28" customFormat="1" ht="11.25">
      <c r="B8" s="57">
        <v>2</v>
      </c>
      <c r="C8" s="57">
        <v>25</v>
      </c>
      <c r="D8" s="40" t="str">
        <f>VLOOKUP(C8,'2005Season'!$C$11:$D$35,2,FALSE)</f>
        <v>Fred Werblow</v>
      </c>
      <c r="E8" s="59">
        <v>4</v>
      </c>
      <c r="F8" s="41">
        <v>1</v>
      </c>
      <c r="G8" s="41">
        <v>1</v>
      </c>
      <c r="H8" s="41">
        <v>2</v>
      </c>
      <c r="I8" s="41">
        <v>8</v>
      </c>
    </row>
    <row r="9" spans="2:9" s="28" customFormat="1" ht="11.25">
      <c r="B9" s="57">
        <v>3</v>
      </c>
      <c r="C9" s="57">
        <v>176</v>
      </c>
      <c r="D9" s="40" t="str">
        <f>VLOOKUP(C9,'2005Season'!$C$11:$D$35,2,FALSE)</f>
        <v>Greg Takata/Doug Campbell/Andrew Wertheim</v>
      </c>
      <c r="E9" s="59">
        <v>3</v>
      </c>
      <c r="F9" s="41">
        <v>5</v>
      </c>
      <c r="G9" s="41">
        <v>3</v>
      </c>
      <c r="H9" s="41">
        <v>3</v>
      </c>
      <c r="I9" s="41">
        <v>14</v>
      </c>
    </row>
    <row r="10" spans="2:9" s="28" customFormat="1" ht="11.25">
      <c r="B10" s="57">
        <v>5</v>
      </c>
      <c r="C10" s="57">
        <v>70</v>
      </c>
      <c r="D10" s="40" t="str">
        <f>VLOOKUP(C10,'2005Season'!$C$11:$D$35,2,FALSE)</f>
        <v>Roland Schulz/Berenice</v>
      </c>
      <c r="E10" s="59">
        <v>2</v>
      </c>
      <c r="F10" s="41">
        <v>6</v>
      </c>
      <c r="G10" s="41">
        <v>4</v>
      </c>
      <c r="H10" s="41">
        <v>4</v>
      </c>
      <c r="I10" s="41">
        <v>16</v>
      </c>
    </row>
    <row r="11" spans="2:9" s="28" customFormat="1" ht="11.25">
      <c r="B11" s="57">
        <v>4</v>
      </c>
      <c r="C11" s="57">
        <v>117</v>
      </c>
      <c r="D11" s="40" t="str">
        <f>VLOOKUP(C11,'2005Season'!$C$11:$D$35,2,FALSE)</f>
        <v>Michael Katz/Bill Gollner</v>
      </c>
      <c r="E11" s="59">
        <v>10</v>
      </c>
      <c r="F11" s="41">
        <v>7</v>
      </c>
      <c r="G11" s="41">
        <v>9</v>
      </c>
      <c r="H11" s="41">
        <v>7</v>
      </c>
      <c r="I11" s="41">
        <v>33</v>
      </c>
    </row>
    <row r="12" spans="2:9" s="28" customFormat="1" ht="11.25">
      <c r="B12" s="57">
        <v>8</v>
      </c>
      <c r="C12" s="57">
        <v>182</v>
      </c>
      <c r="D12" s="40" t="str">
        <f>VLOOKUP(C12,'2005Season'!$C$11:$D$35,2,FALSE)</f>
        <v>Skip McGuire</v>
      </c>
      <c r="E12" s="59">
        <v>6</v>
      </c>
      <c r="F12" s="41">
        <v>2</v>
      </c>
      <c r="G12" s="41" t="s">
        <v>166</v>
      </c>
      <c r="H12" s="41" t="s">
        <v>166</v>
      </c>
      <c r="I12" s="41">
        <v>34</v>
      </c>
    </row>
    <row r="13" spans="2:9" s="28" customFormat="1" ht="11.25">
      <c r="B13" s="57">
        <v>7</v>
      </c>
      <c r="C13" s="57">
        <v>142</v>
      </c>
      <c r="D13" s="40" t="str">
        <f>VLOOKUP(C13,'2005Season'!$C$11:$D$35,2,FALSE)</f>
        <v>Justin Gibbons</v>
      </c>
      <c r="E13" s="59">
        <v>7</v>
      </c>
      <c r="F13" s="41">
        <v>3</v>
      </c>
      <c r="G13" s="41" t="s">
        <v>166</v>
      </c>
      <c r="H13" s="41" t="s">
        <v>166</v>
      </c>
      <c r="I13" s="41">
        <v>36</v>
      </c>
    </row>
    <row r="14" spans="2:9" s="28" customFormat="1" ht="11.25">
      <c r="B14" s="57">
        <v>6</v>
      </c>
      <c r="C14" s="57">
        <v>197</v>
      </c>
      <c r="D14" s="40" t="str">
        <f>VLOOKUP(C14,'2005Season'!$C$11:$D$35,2,FALSE)</f>
        <v>Thomas O'Brien</v>
      </c>
      <c r="E14" s="59" t="s">
        <v>166</v>
      </c>
      <c r="F14" s="41" t="s">
        <v>166</v>
      </c>
      <c r="G14" s="41">
        <v>5</v>
      </c>
      <c r="H14" s="41">
        <v>5</v>
      </c>
      <c r="I14" s="41">
        <v>36</v>
      </c>
    </row>
    <row r="15" spans="2:9" s="28" customFormat="1" ht="11.25">
      <c r="B15" s="57">
        <v>9</v>
      </c>
      <c r="C15" s="57">
        <v>41</v>
      </c>
      <c r="D15" s="40" t="str">
        <f>VLOOKUP(C15,'2005Season'!$C$11:$D$35,2,FALSE)</f>
        <v>Tim Sawyer</v>
      </c>
      <c r="E15" s="59">
        <v>8</v>
      </c>
      <c r="F15" s="41">
        <v>8</v>
      </c>
      <c r="G15" s="41">
        <v>8</v>
      </c>
      <c r="H15" s="41" t="s">
        <v>166</v>
      </c>
      <c r="I15" s="41">
        <v>37</v>
      </c>
    </row>
    <row r="16" spans="2:9" s="28" customFormat="1" ht="11.25">
      <c r="B16" s="57">
        <v>10</v>
      </c>
      <c r="C16" s="57">
        <v>5</v>
      </c>
      <c r="D16" s="40" t="str">
        <f>VLOOKUP(C16,'2005Season'!$C$11:$D$35,2,FALSE)</f>
        <v>Pierre Albouy</v>
      </c>
      <c r="E16" s="59" t="s">
        <v>166</v>
      </c>
      <c r="F16" s="41" t="s">
        <v>166</v>
      </c>
      <c r="G16" s="41">
        <v>6</v>
      </c>
      <c r="H16" s="41">
        <v>6</v>
      </c>
      <c r="I16" s="41">
        <v>38</v>
      </c>
    </row>
    <row r="17" spans="2:9" s="28" customFormat="1" ht="11.25">
      <c r="B17" s="57">
        <v>11</v>
      </c>
      <c r="C17" s="57">
        <v>38</v>
      </c>
      <c r="D17" s="40" t="str">
        <f>VLOOKUP(C17,'2005Season'!$C$11:$D$35,2,FALSE)</f>
        <v>Jean Pierre Jabart/Alain Concher</v>
      </c>
      <c r="E17" s="59">
        <v>9</v>
      </c>
      <c r="F17" s="41" t="s">
        <v>103</v>
      </c>
      <c r="G17" s="41">
        <v>7</v>
      </c>
      <c r="H17" s="41" t="s">
        <v>166</v>
      </c>
      <c r="I17" s="41">
        <v>42</v>
      </c>
    </row>
    <row r="18" spans="2:9" s="28" customFormat="1" ht="11.25">
      <c r="B18" s="58">
        <v>12</v>
      </c>
      <c r="C18" s="58">
        <v>106</v>
      </c>
      <c r="D18" s="61" t="str">
        <f>VLOOKUP(C18,'2005Season'!$C$11:$D$35,2,FALSE)</f>
        <v>Dailey/Monte-Sano</v>
      </c>
      <c r="E18" s="60">
        <v>5</v>
      </c>
      <c r="F18" s="51" t="s">
        <v>103</v>
      </c>
      <c r="G18" s="51" t="s">
        <v>166</v>
      </c>
      <c r="H18" s="51" t="s">
        <v>166</v>
      </c>
      <c r="I18" s="51">
        <v>44</v>
      </c>
    </row>
    <row r="19" spans="2:9" s="28" customFormat="1" ht="11.25">
      <c r="B19" s="25"/>
      <c r="C19" s="25"/>
      <c r="E19" s="25"/>
      <c r="F19" s="25"/>
      <c r="G19" s="25"/>
      <c r="H19" s="25"/>
      <c r="I19" s="25"/>
    </row>
    <row r="20" spans="2:9" s="28" customFormat="1" ht="11.25">
      <c r="B20" s="56"/>
      <c r="C20" s="56"/>
      <c r="E20" s="25"/>
      <c r="F20" s="25"/>
      <c r="G20" s="25"/>
      <c r="H20" s="25"/>
      <c r="I20" s="25"/>
    </row>
    <row r="21" spans="2:9" s="28" customFormat="1" ht="11.25">
      <c r="B21" s="25"/>
      <c r="C21" s="25"/>
      <c r="E21" s="25"/>
      <c r="F21" s="25"/>
      <c r="G21" s="25"/>
      <c r="H21" s="25"/>
      <c r="I21" s="25"/>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B2:X36"/>
  <sheetViews>
    <sheetView zoomScalePageLayoutView="0" workbookViewId="0" topLeftCell="A1">
      <selection activeCell="A1" sqref="A1"/>
    </sheetView>
  </sheetViews>
  <sheetFormatPr defaultColWidth="9.140625" defaultRowHeight="12.75"/>
  <cols>
    <col min="1" max="1" width="3.00390625" style="28"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24" width="4.140625" style="28" customWidth="1"/>
    <col min="25" max="16384" width="9.140625" style="28" customWidth="1"/>
  </cols>
  <sheetData>
    <row r="2" ht="11.25">
      <c r="D2" s="24" t="s">
        <v>306</v>
      </c>
    </row>
    <row r="3" ht="11.25">
      <c r="D3" s="28" t="s">
        <v>338</v>
      </c>
    </row>
    <row r="4" spans="4:24" ht="11.25">
      <c r="D4" s="28" t="s">
        <v>155</v>
      </c>
      <c r="H4" s="140" t="s">
        <v>104</v>
      </c>
      <c r="I4" s="30"/>
      <c r="J4" s="30"/>
      <c r="K4" s="30"/>
      <c r="L4" s="30"/>
      <c r="M4" s="30"/>
      <c r="N4" s="30"/>
      <c r="O4" s="50"/>
      <c r="P4" s="50"/>
      <c r="Q4" s="50"/>
      <c r="R4" s="50"/>
      <c r="S4" s="50"/>
      <c r="T4" s="50"/>
      <c r="U4" s="30"/>
      <c r="V4" s="30"/>
      <c r="W4" s="30"/>
      <c r="X4" s="31"/>
    </row>
    <row r="5" spans="8:24" ht="11.25">
      <c r="H5" s="235" t="s">
        <v>113</v>
      </c>
      <c r="I5" s="236"/>
      <c r="J5" s="236"/>
      <c r="K5" s="237"/>
      <c r="L5" s="54" t="s">
        <v>320</v>
      </c>
      <c r="M5" s="54" t="s">
        <v>117</v>
      </c>
      <c r="N5" s="54" t="s">
        <v>116</v>
      </c>
      <c r="O5" s="53" t="s">
        <v>120</v>
      </c>
      <c r="P5" s="52"/>
      <c r="Q5" s="52"/>
      <c r="R5" s="52"/>
      <c r="S5" s="52"/>
      <c r="T5" s="126"/>
      <c r="U5" s="236" t="s">
        <v>118</v>
      </c>
      <c r="V5" s="236"/>
      <c r="W5" s="236"/>
      <c r="X5" s="237"/>
    </row>
    <row r="6" spans="3:24" ht="11.25">
      <c r="C6" s="38"/>
      <c r="D6" s="127"/>
      <c r="E6" s="106"/>
      <c r="F6" s="116"/>
      <c r="G6" s="117" t="s">
        <v>0</v>
      </c>
      <c r="H6" s="63" t="s">
        <v>99</v>
      </c>
      <c r="I6" s="42" t="s">
        <v>99</v>
      </c>
      <c r="J6" s="42" t="s">
        <v>99</v>
      </c>
      <c r="K6" s="42" t="s">
        <v>235</v>
      </c>
      <c r="L6" s="42" t="s">
        <v>99</v>
      </c>
      <c r="M6" s="42" t="s">
        <v>99</v>
      </c>
      <c r="N6" s="42" t="s">
        <v>322</v>
      </c>
      <c r="O6" s="42" t="s">
        <v>99</v>
      </c>
      <c r="P6" s="42" t="s">
        <v>99</v>
      </c>
      <c r="Q6" s="42" t="s">
        <v>323</v>
      </c>
      <c r="R6" s="42" t="s">
        <v>99</v>
      </c>
      <c r="S6" s="42" t="s">
        <v>99</v>
      </c>
      <c r="T6" s="42" t="s">
        <v>99</v>
      </c>
      <c r="U6" s="42"/>
      <c r="V6" s="42"/>
      <c r="W6" s="42"/>
      <c r="X6" s="42"/>
    </row>
    <row r="7" spans="3:24" ht="11.25">
      <c r="C7" s="40"/>
      <c r="D7" s="64"/>
      <c r="E7" s="57"/>
      <c r="F7" s="118"/>
      <c r="G7" s="119" t="s">
        <v>1</v>
      </c>
      <c r="H7" s="113">
        <v>190</v>
      </c>
      <c r="I7" s="43">
        <v>190</v>
      </c>
      <c r="J7" s="43">
        <v>330</v>
      </c>
      <c r="K7" s="43">
        <v>330</v>
      </c>
      <c r="L7" s="42">
        <v>180</v>
      </c>
      <c r="M7" s="42">
        <v>230</v>
      </c>
      <c r="N7" s="42">
        <v>130</v>
      </c>
      <c r="O7" s="42">
        <v>220</v>
      </c>
      <c r="P7" s="42">
        <v>220</v>
      </c>
      <c r="Q7" s="42">
        <v>210</v>
      </c>
      <c r="R7" s="42">
        <v>210</v>
      </c>
      <c r="S7" s="42">
        <v>210</v>
      </c>
      <c r="T7" s="42">
        <v>210</v>
      </c>
      <c r="U7" s="42"/>
      <c r="V7" s="42"/>
      <c r="W7" s="42"/>
      <c r="X7" s="42"/>
    </row>
    <row r="8" spans="3:24" ht="11.25">
      <c r="C8" s="40"/>
      <c r="D8" s="64"/>
      <c r="E8" s="57"/>
      <c r="F8" s="118"/>
      <c r="G8" s="119" t="s">
        <v>2</v>
      </c>
      <c r="H8" s="63">
        <v>12</v>
      </c>
      <c r="I8" s="42">
        <v>20</v>
      </c>
      <c r="J8" s="45" t="s">
        <v>168</v>
      </c>
      <c r="K8" s="44" t="s">
        <v>167</v>
      </c>
      <c r="L8" s="112">
        <v>5</v>
      </c>
      <c r="M8" s="44">
        <v>5</v>
      </c>
      <c r="N8" s="44">
        <v>5</v>
      </c>
      <c r="O8" s="44">
        <v>8</v>
      </c>
      <c r="P8" s="44">
        <v>8</v>
      </c>
      <c r="Q8" s="44">
        <v>12</v>
      </c>
      <c r="R8" s="44">
        <v>8</v>
      </c>
      <c r="S8" s="44">
        <v>8</v>
      </c>
      <c r="T8" s="44">
        <v>10</v>
      </c>
      <c r="U8" s="44"/>
      <c r="V8" s="44"/>
      <c r="W8" s="44"/>
      <c r="X8" s="44"/>
    </row>
    <row r="9" spans="3:24" ht="11.25">
      <c r="C9" s="61"/>
      <c r="D9" s="128"/>
      <c r="E9" s="57">
        <f>COUNTIF($H9:X9,"&gt;0")</f>
        <v>17</v>
      </c>
      <c r="F9" s="120"/>
      <c r="G9" s="121" t="s">
        <v>3</v>
      </c>
      <c r="H9" s="63">
        <v>12</v>
      </c>
      <c r="I9" s="42">
        <v>12</v>
      </c>
      <c r="J9" s="42">
        <v>11</v>
      </c>
      <c r="K9" s="42">
        <v>11</v>
      </c>
      <c r="L9" s="42">
        <v>13</v>
      </c>
      <c r="M9" s="42">
        <v>11</v>
      </c>
      <c r="N9" s="42">
        <v>12</v>
      </c>
      <c r="O9" s="42">
        <v>20</v>
      </c>
      <c r="P9" s="42">
        <v>19</v>
      </c>
      <c r="Q9" s="42">
        <v>17</v>
      </c>
      <c r="R9" s="42">
        <v>19</v>
      </c>
      <c r="S9" s="42">
        <v>19</v>
      </c>
      <c r="T9" s="42">
        <v>18</v>
      </c>
      <c r="U9" s="42">
        <v>10</v>
      </c>
      <c r="V9" s="42">
        <v>10</v>
      </c>
      <c r="W9" s="42">
        <v>9</v>
      </c>
      <c r="X9" s="42">
        <v>7</v>
      </c>
    </row>
    <row r="10" spans="3:24" ht="37.5">
      <c r="C10" s="51" t="s">
        <v>256</v>
      </c>
      <c r="D10" s="125" t="s">
        <v>227</v>
      </c>
      <c r="E10" s="37" t="s">
        <v>4</v>
      </c>
      <c r="F10" s="114" t="s">
        <v>5</v>
      </c>
      <c r="G10" s="115" t="s">
        <v>6</v>
      </c>
      <c r="H10" s="37">
        <v>38135</v>
      </c>
      <c r="I10" s="37">
        <v>38135</v>
      </c>
      <c r="J10" s="37">
        <v>38136</v>
      </c>
      <c r="K10" s="37">
        <v>38136</v>
      </c>
      <c r="L10" s="37">
        <v>38142</v>
      </c>
      <c r="M10" s="37">
        <v>38149</v>
      </c>
      <c r="N10" s="37">
        <v>38156</v>
      </c>
      <c r="O10" s="37">
        <v>38163</v>
      </c>
      <c r="P10" s="37">
        <v>38163</v>
      </c>
      <c r="Q10" s="37">
        <v>38163</v>
      </c>
      <c r="R10" s="37">
        <v>38164</v>
      </c>
      <c r="S10" s="37">
        <v>38164</v>
      </c>
      <c r="T10" s="37">
        <v>38164</v>
      </c>
      <c r="U10" s="37">
        <v>38170</v>
      </c>
      <c r="V10" s="37">
        <v>38170</v>
      </c>
      <c r="W10" s="37">
        <v>38171</v>
      </c>
      <c r="X10" s="37">
        <v>38171</v>
      </c>
    </row>
    <row r="11" spans="2:24" ht="11.25">
      <c r="B11" s="28">
        <v>1</v>
      </c>
      <c r="C11" s="39">
        <v>25</v>
      </c>
      <c r="D11" s="38" t="s">
        <v>162</v>
      </c>
      <c r="E11" s="122">
        <f aca="true" t="shared" si="0" ref="E11:E34">COUNTA(H11:X11)</f>
        <v>17</v>
      </c>
      <c r="F11" s="49">
        <f aca="true" t="shared" si="1" ref="F11:F34">MIN(INT(E11/10),3)</f>
        <v>1</v>
      </c>
      <c r="G11" s="62">
        <f>C_S_G($H11:X11,$H$9:X$9,csg_table,E$9,F11)</f>
        <v>0.9107142857142857</v>
      </c>
      <c r="H11" s="49">
        <v>1</v>
      </c>
      <c r="I11" s="49">
        <v>2</v>
      </c>
      <c r="J11" s="49">
        <v>7</v>
      </c>
      <c r="K11" s="49">
        <v>4</v>
      </c>
      <c r="L11" s="49">
        <v>2</v>
      </c>
      <c r="M11" s="49">
        <v>6</v>
      </c>
      <c r="N11" s="49">
        <v>2</v>
      </c>
      <c r="O11" s="49">
        <v>2</v>
      </c>
      <c r="P11" s="49">
        <v>1</v>
      </c>
      <c r="Q11" s="49">
        <v>14</v>
      </c>
      <c r="R11" s="49">
        <v>5</v>
      </c>
      <c r="S11" s="49">
        <v>3</v>
      </c>
      <c r="T11" s="49">
        <v>1</v>
      </c>
      <c r="U11" s="49">
        <v>4</v>
      </c>
      <c r="V11" s="49">
        <v>1</v>
      </c>
      <c r="W11" s="49">
        <v>1</v>
      </c>
      <c r="X11" s="49">
        <v>2</v>
      </c>
    </row>
    <row r="12" spans="2:24" ht="11.25">
      <c r="B12" s="28">
        <v>2</v>
      </c>
      <c r="C12" s="41">
        <v>23</v>
      </c>
      <c r="D12" s="40" t="s">
        <v>309</v>
      </c>
      <c r="E12" s="123">
        <f t="shared" si="0"/>
        <v>16</v>
      </c>
      <c r="F12" s="33">
        <f t="shared" si="1"/>
        <v>1</v>
      </c>
      <c r="G12" s="34">
        <f>C_S_G($H12:X12,$H$9:X$9,csg_table,E$9,F12)</f>
        <v>0.8625954198473282</v>
      </c>
      <c r="H12" s="33">
        <v>4</v>
      </c>
      <c r="I12" s="33">
        <v>3</v>
      </c>
      <c r="J12" s="33">
        <v>3</v>
      </c>
      <c r="K12" s="33">
        <v>2</v>
      </c>
      <c r="L12" s="33">
        <v>4</v>
      </c>
      <c r="M12" s="33">
        <v>3</v>
      </c>
      <c r="N12" s="33"/>
      <c r="O12" s="33" t="s">
        <v>324</v>
      </c>
      <c r="P12" s="33">
        <v>3</v>
      </c>
      <c r="Q12" s="33">
        <v>11</v>
      </c>
      <c r="R12" s="33">
        <v>4</v>
      </c>
      <c r="S12" s="33">
        <v>6</v>
      </c>
      <c r="T12" s="33">
        <v>8</v>
      </c>
      <c r="U12" s="33">
        <v>1</v>
      </c>
      <c r="V12" s="33">
        <v>4</v>
      </c>
      <c r="W12" s="33">
        <v>2</v>
      </c>
      <c r="X12" s="33">
        <v>1</v>
      </c>
    </row>
    <row r="13" spans="2:24" ht="11.25">
      <c r="B13" s="28">
        <v>3</v>
      </c>
      <c r="C13" s="41">
        <v>49</v>
      </c>
      <c r="D13" s="40" t="s">
        <v>332</v>
      </c>
      <c r="E13" s="123">
        <f t="shared" si="0"/>
        <v>12</v>
      </c>
      <c r="F13" s="33">
        <f t="shared" si="1"/>
        <v>1</v>
      </c>
      <c r="G13" s="34">
        <f>C_S_G($H13:X13,$H$9:X$9,csg_table,E$9,F13)</f>
        <v>0.8616600790513834</v>
      </c>
      <c r="H13" s="33">
        <v>2</v>
      </c>
      <c r="I13" s="33">
        <v>1</v>
      </c>
      <c r="J13" s="33">
        <v>4</v>
      </c>
      <c r="K13" s="33">
        <v>1</v>
      </c>
      <c r="L13" s="33">
        <v>5</v>
      </c>
      <c r="M13" s="33"/>
      <c r="N13" s="33">
        <v>4</v>
      </c>
      <c r="O13" s="33">
        <v>3</v>
      </c>
      <c r="P13" s="33">
        <v>11</v>
      </c>
      <c r="Q13" s="33">
        <v>5</v>
      </c>
      <c r="R13" s="33">
        <v>7</v>
      </c>
      <c r="S13" s="33">
        <v>4</v>
      </c>
      <c r="T13" s="33">
        <v>9</v>
      </c>
      <c r="U13" s="33"/>
      <c r="V13" s="33"/>
      <c r="W13" s="33"/>
      <c r="X13" s="33"/>
    </row>
    <row r="14" spans="2:24" ht="11.25">
      <c r="B14" s="28">
        <v>4</v>
      </c>
      <c r="C14" s="41">
        <v>106</v>
      </c>
      <c r="D14" s="40" t="s">
        <v>311</v>
      </c>
      <c r="E14" s="123">
        <f t="shared" si="0"/>
        <v>15</v>
      </c>
      <c r="F14" s="33">
        <f t="shared" si="1"/>
        <v>1</v>
      </c>
      <c r="G14" s="34">
        <f>C_S_G($H14:X14,$H$9:X$9,csg_table,E$9,F14)</f>
        <v>0.836078431372549</v>
      </c>
      <c r="H14" s="33">
        <v>3</v>
      </c>
      <c r="I14" s="33">
        <v>6</v>
      </c>
      <c r="J14" s="33">
        <v>6</v>
      </c>
      <c r="K14" s="33">
        <v>3</v>
      </c>
      <c r="L14" s="33">
        <v>3</v>
      </c>
      <c r="M14" s="33">
        <v>1</v>
      </c>
      <c r="N14" s="33">
        <v>3</v>
      </c>
      <c r="O14" s="33">
        <v>5</v>
      </c>
      <c r="P14" s="33">
        <v>9</v>
      </c>
      <c r="Q14" s="33">
        <v>8</v>
      </c>
      <c r="R14" s="33">
        <v>1</v>
      </c>
      <c r="S14" s="33">
        <v>5</v>
      </c>
      <c r="T14" s="33">
        <v>10</v>
      </c>
      <c r="U14" s="33">
        <v>5</v>
      </c>
      <c r="V14" s="33" t="s">
        <v>103</v>
      </c>
      <c r="W14" s="33"/>
      <c r="X14" s="33"/>
    </row>
    <row r="15" spans="2:24" ht="11.25">
      <c r="B15" s="28">
        <v>5</v>
      </c>
      <c r="C15" s="41">
        <v>176</v>
      </c>
      <c r="D15" s="40" t="s">
        <v>333</v>
      </c>
      <c r="E15" s="123">
        <f t="shared" si="0"/>
        <v>11</v>
      </c>
      <c r="F15" s="33">
        <f t="shared" si="1"/>
        <v>1</v>
      </c>
      <c r="G15" s="34">
        <f>C_S_G($H15:X15,$H$9:X$9,csg_table,E$9,F15)</f>
        <v>0.8007334963325183</v>
      </c>
      <c r="H15" s="33">
        <v>6</v>
      </c>
      <c r="I15" s="33">
        <v>10</v>
      </c>
      <c r="J15" s="33">
        <v>2</v>
      </c>
      <c r="K15" s="33">
        <v>7</v>
      </c>
      <c r="L15" s="33">
        <v>7</v>
      </c>
      <c r="M15" s="33">
        <v>8</v>
      </c>
      <c r="N15" s="33">
        <v>7</v>
      </c>
      <c r="O15" s="33"/>
      <c r="P15" s="33"/>
      <c r="Q15" s="33"/>
      <c r="R15" s="33"/>
      <c r="S15" s="33"/>
      <c r="T15" s="33"/>
      <c r="U15" s="33">
        <v>3</v>
      </c>
      <c r="V15" s="33">
        <v>5</v>
      </c>
      <c r="W15" s="33">
        <v>3</v>
      </c>
      <c r="X15" s="33">
        <v>3</v>
      </c>
    </row>
    <row r="16" spans="2:24" ht="11.25">
      <c r="B16" s="28">
        <v>6</v>
      </c>
      <c r="C16" s="41">
        <v>182</v>
      </c>
      <c r="D16" s="40" t="s">
        <v>164</v>
      </c>
      <c r="E16" s="123">
        <f t="shared" si="0"/>
        <v>11</v>
      </c>
      <c r="F16" s="33">
        <f t="shared" si="1"/>
        <v>1</v>
      </c>
      <c r="G16" s="34">
        <f>C_S_G($H16:X16,$H$9:X$9,csg_table,E$9,F16)</f>
        <v>0.7925356750823271</v>
      </c>
      <c r="H16" s="33">
        <v>5</v>
      </c>
      <c r="I16" s="33">
        <v>5</v>
      </c>
      <c r="J16" s="33"/>
      <c r="K16" s="33"/>
      <c r="L16" s="33"/>
      <c r="M16" s="33">
        <v>4</v>
      </c>
      <c r="N16" s="33"/>
      <c r="O16" s="33">
        <v>10</v>
      </c>
      <c r="P16" s="33">
        <v>7</v>
      </c>
      <c r="Q16" s="33">
        <v>9</v>
      </c>
      <c r="R16" s="33">
        <v>10</v>
      </c>
      <c r="S16" s="33">
        <v>7</v>
      </c>
      <c r="T16" s="33">
        <v>5</v>
      </c>
      <c r="U16" s="33">
        <v>6</v>
      </c>
      <c r="V16" s="33">
        <v>2</v>
      </c>
      <c r="W16" s="33"/>
      <c r="X16" s="33"/>
    </row>
    <row r="17" spans="2:24" ht="11.25">
      <c r="B17" s="28">
        <v>7</v>
      </c>
      <c r="C17" s="41">
        <v>183</v>
      </c>
      <c r="D17" s="40" t="s">
        <v>223</v>
      </c>
      <c r="E17" s="123">
        <f t="shared" si="0"/>
        <v>12</v>
      </c>
      <c r="F17" s="33">
        <f t="shared" si="1"/>
        <v>1</v>
      </c>
      <c r="G17" s="34">
        <f>C_S_G($H17:X17,$H$9:X$9,csg_table,E$9,F17)</f>
        <v>0.7658102766798419</v>
      </c>
      <c r="H17" s="33">
        <v>8</v>
      </c>
      <c r="I17" s="33">
        <v>9</v>
      </c>
      <c r="J17" s="33">
        <v>1</v>
      </c>
      <c r="K17" s="33">
        <v>5</v>
      </c>
      <c r="L17" s="33">
        <v>9</v>
      </c>
      <c r="M17" s="33"/>
      <c r="N17" s="33">
        <v>1</v>
      </c>
      <c r="O17" s="33">
        <v>11</v>
      </c>
      <c r="P17" s="33">
        <v>4</v>
      </c>
      <c r="Q17" s="33">
        <v>12</v>
      </c>
      <c r="R17" s="33">
        <v>15</v>
      </c>
      <c r="S17" s="33">
        <v>15</v>
      </c>
      <c r="T17" s="33">
        <v>12</v>
      </c>
      <c r="U17" s="33"/>
      <c r="V17" s="33"/>
      <c r="W17" s="33"/>
      <c r="X17" s="33"/>
    </row>
    <row r="18" spans="2:24" ht="11.25">
      <c r="B18" s="28">
        <v>8</v>
      </c>
      <c r="C18" s="41">
        <v>70</v>
      </c>
      <c r="D18" s="40" t="s">
        <v>213</v>
      </c>
      <c r="E18" s="123">
        <f t="shared" si="0"/>
        <v>17</v>
      </c>
      <c r="F18" s="33">
        <f t="shared" si="1"/>
        <v>1</v>
      </c>
      <c r="G18" s="34">
        <f>C_S_G($H18:X18,$H$9:X$9,csg_table,E$9,F18)</f>
        <v>0.753934191702432</v>
      </c>
      <c r="H18" s="33">
        <v>11</v>
      </c>
      <c r="I18" s="33">
        <v>4</v>
      </c>
      <c r="J18" s="33">
        <v>8</v>
      </c>
      <c r="K18" s="33">
        <v>10</v>
      </c>
      <c r="L18" s="33">
        <v>6</v>
      </c>
      <c r="M18" s="33">
        <v>2</v>
      </c>
      <c r="N18" s="33">
        <v>6</v>
      </c>
      <c r="O18" s="33">
        <v>9</v>
      </c>
      <c r="P18" s="33">
        <v>8</v>
      </c>
      <c r="Q18" s="33">
        <v>15</v>
      </c>
      <c r="R18" s="33">
        <v>9</v>
      </c>
      <c r="S18" s="33">
        <v>16</v>
      </c>
      <c r="T18" s="33">
        <v>15</v>
      </c>
      <c r="U18" s="33">
        <v>2</v>
      </c>
      <c r="V18" s="33">
        <v>6</v>
      </c>
      <c r="W18" s="33">
        <v>4</v>
      </c>
      <c r="X18" s="33">
        <v>4</v>
      </c>
    </row>
    <row r="19" spans="2:24" ht="11.25">
      <c r="B19" s="28">
        <v>9</v>
      </c>
      <c r="C19" s="41">
        <v>142</v>
      </c>
      <c r="D19" s="40" t="s">
        <v>214</v>
      </c>
      <c r="E19" s="123">
        <f t="shared" si="0"/>
        <v>14</v>
      </c>
      <c r="F19" s="33">
        <f t="shared" si="1"/>
        <v>1</v>
      </c>
      <c r="G19" s="34">
        <f>C_S_G($H19:X19,$H$9:X$9,csg_table,E$9,F19)</f>
        <v>0.7090443686006825</v>
      </c>
      <c r="H19" s="33">
        <v>7</v>
      </c>
      <c r="I19" s="33">
        <v>7</v>
      </c>
      <c r="J19" s="33">
        <v>10</v>
      </c>
      <c r="K19" s="33">
        <v>8</v>
      </c>
      <c r="L19" s="33">
        <v>8</v>
      </c>
      <c r="M19" s="33"/>
      <c r="N19" s="33">
        <v>5</v>
      </c>
      <c r="O19" s="33">
        <v>16</v>
      </c>
      <c r="P19" s="33">
        <v>14</v>
      </c>
      <c r="Q19" s="33">
        <v>13</v>
      </c>
      <c r="R19" s="33">
        <v>17</v>
      </c>
      <c r="S19" s="33">
        <v>12</v>
      </c>
      <c r="T19" s="33">
        <v>13</v>
      </c>
      <c r="U19" s="33">
        <v>7</v>
      </c>
      <c r="V19" s="33">
        <v>3</v>
      </c>
      <c r="W19" s="33"/>
      <c r="X19" s="33"/>
    </row>
    <row r="20" spans="2:24" ht="11.25">
      <c r="B20" s="28">
        <v>10</v>
      </c>
      <c r="C20" s="41">
        <v>197</v>
      </c>
      <c r="D20" s="40" t="s">
        <v>215</v>
      </c>
      <c r="E20" s="123">
        <f t="shared" si="0"/>
        <v>14</v>
      </c>
      <c r="F20" s="33">
        <f t="shared" si="1"/>
        <v>1</v>
      </c>
      <c r="G20" s="34">
        <f>C_S_G($H20:X20,$H$9:X$9,csg_table,E$9,F20)</f>
        <v>0.6970486111111112</v>
      </c>
      <c r="H20" s="33">
        <v>9</v>
      </c>
      <c r="I20" s="33">
        <v>8</v>
      </c>
      <c r="J20" s="33">
        <v>9</v>
      </c>
      <c r="K20" s="33">
        <v>11</v>
      </c>
      <c r="L20" s="33">
        <v>10</v>
      </c>
      <c r="M20" s="33">
        <v>7</v>
      </c>
      <c r="N20" s="33"/>
      <c r="O20" s="33">
        <v>8</v>
      </c>
      <c r="P20" s="33">
        <v>15</v>
      </c>
      <c r="Q20" s="33">
        <v>10</v>
      </c>
      <c r="R20" s="33">
        <v>16</v>
      </c>
      <c r="S20" s="33">
        <v>13</v>
      </c>
      <c r="T20" s="33">
        <v>18</v>
      </c>
      <c r="U20" s="33"/>
      <c r="V20" s="33"/>
      <c r="W20" s="33">
        <v>5</v>
      </c>
      <c r="X20" s="33">
        <v>5</v>
      </c>
    </row>
    <row r="21" spans="2:24" ht="11.25">
      <c r="B21" s="28">
        <v>11</v>
      </c>
      <c r="C21" s="41">
        <v>5</v>
      </c>
      <c r="D21" s="40" t="s">
        <v>212</v>
      </c>
      <c r="E21" s="123">
        <f t="shared" si="0"/>
        <v>11</v>
      </c>
      <c r="F21" s="33">
        <f t="shared" si="1"/>
        <v>1</v>
      </c>
      <c r="G21" s="34">
        <f>C_S_G($H21:X21,$H$9:X$9,csg_table,E$9,F21)</f>
        <v>0.6571428571428571</v>
      </c>
      <c r="H21" s="33">
        <v>10</v>
      </c>
      <c r="I21" s="33">
        <v>11</v>
      </c>
      <c r="J21" s="33"/>
      <c r="K21" s="33"/>
      <c r="L21" s="33">
        <v>12</v>
      </c>
      <c r="M21" s="33">
        <v>11</v>
      </c>
      <c r="N21" s="33">
        <v>11</v>
      </c>
      <c r="O21" s="33">
        <v>17</v>
      </c>
      <c r="P21" s="33">
        <v>18</v>
      </c>
      <c r="Q21" s="33"/>
      <c r="R21" s="33">
        <v>13</v>
      </c>
      <c r="S21" s="33">
        <v>17</v>
      </c>
      <c r="T21" s="33"/>
      <c r="U21" s="33"/>
      <c r="V21" s="33"/>
      <c r="W21" s="33">
        <v>6</v>
      </c>
      <c r="X21" s="33">
        <v>6</v>
      </c>
    </row>
    <row r="22" spans="2:24" ht="11.25">
      <c r="B22" s="28">
        <v>12</v>
      </c>
      <c r="C22" s="41">
        <v>117</v>
      </c>
      <c r="D22" s="40" t="s">
        <v>209</v>
      </c>
      <c r="E22" s="123">
        <f t="shared" si="0"/>
        <v>16</v>
      </c>
      <c r="F22" s="33">
        <f t="shared" si="1"/>
        <v>1</v>
      </c>
      <c r="G22" s="34">
        <f>C_S_G($H22:X22,$H$9:X$9,csg_table,E$9,F22)</f>
        <v>0.6529051987767585</v>
      </c>
      <c r="H22" s="33">
        <v>12</v>
      </c>
      <c r="I22" s="33">
        <v>12</v>
      </c>
      <c r="J22" s="33">
        <v>11</v>
      </c>
      <c r="K22" s="33">
        <v>9</v>
      </c>
      <c r="L22" s="33"/>
      <c r="M22" s="33">
        <v>5</v>
      </c>
      <c r="N22" s="33">
        <v>10</v>
      </c>
      <c r="O22" s="33">
        <v>18</v>
      </c>
      <c r="P22" s="33">
        <v>17</v>
      </c>
      <c r="Q22" s="33">
        <v>17</v>
      </c>
      <c r="R22" s="33">
        <v>18</v>
      </c>
      <c r="S22" s="33">
        <v>18</v>
      </c>
      <c r="T22" s="33">
        <v>16</v>
      </c>
      <c r="U22" s="33">
        <v>10</v>
      </c>
      <c r="V22" s="33">
        <v>7</v>
      </c>
      <c r="W22" s="33">
        <v>9</v>
      </c>
      <c r="X22" s="33">
        <v>7</v>
      </c>
    </row>
    <row r="23" spans="2:24" ht="11.25">
      <c r="B23" s="28">
        <v>13</v>
      </c>
      <c r="C23" s="51">
        <v>38</v>
      </c>
      <c r="D23" s="61" t="s">
        <v>208</v>
      </c>
      <c r="E23" s="124">
        <f t="shared" si="0"/>
        <v>12</v>
      </c>
      <c r="F23" s="35">
        <f t="shared" si="1"/>
        <v>1</v>
      </c>
      <c r="G23" s="36">
        <f>C_S_G($H23:X23,$H$9:X$9,csg_table,E$9,F23)</f>
        <v>0.647887323943662</v>
      </c>
      <c r="H23" s="35"/>
      <c r="I23" s="35"/>
      <c r="J23" s="35"/>
      <c r="K23" s="35"/>
      <c r="L23" s="35">
        <v>11</v>
      </c>
      <c r="M23" s="35">
        <v>10</v>
      </c>
      <c r="N23" s="35">
        <v>12</v>
      </c>
      <c r="O23" s="35">
        <v>14</v>
      </c>
      <c r="P23" s="35">
        <v>12</v>
      </c>
      <c r="Q23" s="35">
        <v>16</v>
      </c>
      <c r="R23" s="35">
        <v>19</v>
      </c>
      <c r="S23" s="35" t="s">
        <v>165</v>
      </c>
      <c r="T23" s="35">
        <v>17</v>
      </c>
      <c r="U23" s="35">
        <v>9</v>
      </c>
      <c r="V23" s="35" t="s">
        <v>103</v>
      </c>
      <c r="W23" s="35">
        <v>7</v>
      </c>
      <c r="X23" s="35"/>
    </row>
    <row r="24" spans="3:24" ht="11.25">
      <c r="C24" s="41">
        <v>231</v>
      </c>
      <c r="D24" s="40" t="s">
        <v>224</v>
      </c>
      <c r="E24" s="123">
        <f t="shared" si="0"/>
        <v>8</v>
      </c>
      <c r="F24" s="33">
        <f t="shared" si="1"/>
        <v>0</v>
      </c>
      <c r="G24" s="34">
        <f>C_S_G($H24:X24,$H$9:X$9,csg_table,E$9,F24)</f>
        <v>0.8309492847854356</v>
      </c>
      <c r="H24" s="33"/>
      <c r="I24" s="33"/>
      <c r="J24" s="33"/>
      <c r="K24" s="33"/>
      <c r="L24" s="33">
        <v>1</v>
      </c>
      <c r="M24" s="33"/>
      <c r="N24" s="33">
        <v>8</v>
      </c>
      <c r="O24" s="33">
        <v>13</v>
      </c>
      <c r="P24" s="33">
        <v>6</v>
      </c>
      <c r="Q24" s="33">
        <v>2</v>
      </c>
      <c r="R24" s="33">
        <v>3</v>
      </c>
      <c r="S24" s="33">
        <v>2</v>
      </c>
      <c r="T24" s="33">
        <v>11</v>
      </c>
      <c r="U24" s="33"/>
      <c r="V24" s="33"/>
      <c r="W24" s="33"/>
      <c r="X24" s="33"/>
    </row>
    <row r="25" spans="3:24" ht="11.25">
      <c r="C25" s="41">
        <v>221</v>
      </c>
      <c r="D25" s="40" t="s">
        <v>211</v>
      </c>
      <c r="E25" s="123">
        <f t="shared" si="0"/>
        <v>8</v>
      </c>
      <c r="F25" s="33">
        <f t="shared" si="1"/>
        <v>0</v>
      </c>
      <c r="G25" s="34">
        <f>C_S_G($H25:X25,$H$9:X$9,csg_table,E$9,F25)</f>
        <v>0.8302631578947368</v>
      </c>
      <c r="H25" s="33"/>
      <c r="I25" s="33"/>
      <c r="J25" s="33">
        <v>5</v>
      </c>
      <c r="K25" s="33">
        <v>6</v>
      </c>
      <c r="L25" s="33"/>
      <c r="M25" s="33"/>
      <c r="N25" s="33"/>
      <c r="O25" s="33">
        <v>7</v>
      </c>
      <c r="P25" s="33">
        <v>2</v>
      </c>
      <c r="Q25" s="33">
        <v>3</v>
      </c>
      <c r="R25" s="33">
        <v>6</v>
      </c>
      <c r="S25" s="33">
        <v>8</v>
      </c>
      <c r="T25" s="33">
        <v>3</v>
      </c>
      <c r="U25" s="33"/>
      <c r="V25" s="33"/>
      <c r="W25" s="33"/>
      <c r="X25" s="33"/>
    </row>
    <row r="26" spans="3:24" ht="11.25">
      <c r="C26" s="41">
        <v>41</v>
      </c>
      <c r="D26" s="40" t="s">
        <v>222</v>
      </c>
      <c r="E26" s="123">
        <f t="shared" si="0"/>
        <v>6</v>
      </c>
      <c r="F26" s="33">
        <f t="shared" si="1"/>
        <v>0</v>
      </c>
      <c r="G26" s="34">
        <f>C_S_G($H26:X26,$H$9:X$9,csg_table,E$9,F26)</f>
        <v>0.6653919694072657</v>
      </c>
      <c r="H26" s="33"/>
      <c r="I26" s="33"/>
      <c r="J26" s="33"/>
      <c r="K26" s="33"/>
      <c r="L26" s="33"/>
      <c r="M26" s="33"/>
      <c r="N26" s="33">
        <v>9</v>
      </c>
      <c r="O26" s="33">
        <v>15</v>
      </c>
      <c r="P26" s="33" t="s">
        <v>103</v>
      </c>
      <c r="Q26" s="33"/>
      <c r="R26" s="33"/>
      <c r="S26" s="33"/>
      <c r="T26" s="33"/>
      <c r="U26" s="33">
        <v>8</v>
      </c>
      <c r="V26" s="33">
        <v>8</v>
      </c>
      <c r="W26" s="33">
        <v>8</v>
      </c>
      <c r="X26" s="33"/>
    </row>
    <row r="27" spans="3:24" ht="11.25">
      <c r="C27" s="41">
        <v>54</v>
      </c>
      <c r="D27" s="40" t="s">
        <v>219</v>
      </c>
      <c r="E27" s="123">
        <f t="shared" si="0"/>
        <v>3</v>
      </c>
      <c r="F27" s="33">
        <f t="shared" si="1"/>
        <v>0</v>
      </c>
      <c r="G27" s="34">
        <f>C_S_G($H27:X27,$H$9:X$9,csg_table,E$9,F27)</f>
        <v>0.6554054054054054</v>
      </c>
      <c r="H27" s="33"/>
      <c r="I27" s="33"/>
      <c r="J27" s="33"/>
      <c r="K27" s="33"/>
      <c r="L27" s="33"/>
      <c r="M27" s="33"/>
      <c r="N27" s="33"/>
      <c r="O27" s="33"/>
      <c r="P27" s="33"/>
      <c r="Q27" s="33"/>
      <c r="R27" s="33">
        <v>12</v>
      </c>
      <c r="S27" s="33">
        <v>14</v>
      </c>
      <c r="T27" s="33">
        <v>14</v>
      </c>
      <c r="U27" s="33"/>
      <c r="V27" s="33"/>
      <c r="W27" s="33"/>
      <c r="X27" s="33"/>
    </row>
    <row r="28" spans="3:24" ht="11.25">
      <c r="C28" s="41">
        <v>16</v>
      </c>
      <c r="D28" s="40" t="s">
        <v>221</v>
      </c>
      <c r="E28" s="123">
        <f t="shared" si="0"/>
        <v>3</v>
      </c>
      <c r="F28" s="33">
        <f t="shared" si="1"/>
        <v>0</v>
      </c>
      <c r="G28" s="34">
        <f>C_S_G($H28:X28,$H$9:X$9,csg_table,E$9,F28)</f>
        <v>0.6263273928426282</v>
      </c>
      <c r="H28" s="33"/>
      <c r="I28" s="33"/>
      <c r="J28" s="33"/>
      <c r="K28" s="33"/>
      <c r="L28" s="33">
        <v>13</v>
      </c>
      <c r="M28" s="33">
        <v>9</v>
      </c>
      <c r="N28" s="33"/>
      <c r="O28" s="33" t="s">
        <v>103</v>
      </c>
      <c r="P28" s="33"/>
      <c r="Q28" s="33"/>
      <c r="R28" s="33"/>
      <c r="S28" s="33"/>
      <c r="T28" s="33"/>
      <c r="U28" s="33"/>
      <c r="V28" s="33"/>
      <c r="W28" s="33"/>
      <c r="X28" s="33"/>
    </row>
    <row r="29" spans="3:24" ht="11.25">
      <c r="C29" s="41">
        <v>57</v>
      </c>
      <c r="D29" s="40" t="s">
        <v>325</v>
      </c>
      <c r="E29" s="123">
        <f t="shared" si="0"/>
        <v>6</v>
      </c>
      <c r="F29" s="33">
        <f t="shared" si="1"/>
        <v>0</v>
      </c>
      <c r="G29" s="34">
        <f>C_S_G($H29:X29,$H$9:X$9,csg_table,E$9,F29)</f>
        <v>0.9375</v>
      </c>
      <c r="H29" s="33"/>
      <c r="I29" s="33"/>
      <c r="J29" s="33"/>
      <c r="K29" s="33"/>
      <c r="L29" s="33"/>
      <c r="M29" s="33"/>
      <c r="N29" s="33"/>
      <c r="O29" s="33">
        <v>1</v>
      </c>
      <c r="P29" s="33">
        <v>5</v>
      </c>
      <c r="Q29" s="33">
        <v>1</v>
      </c>
      <c r="R29" s="33">
        <v>2</v>
      </c>
      <c r="S29" s="33">
        <v>1</v>
      </c>
      <c r="T29" s="33">
        <v>4</v>
      </c>
      <c r="U29" s="33"/>
      <c r="V29" s="33"/>
      <c r="W29" s="33"/>
      <c r="X29" s="33"/>
    </row>
    <row r="30" spans="3:24" ht="11.25">
      <c r="C30" s="41">
        <v>83</v>
      </c>
      <c r="D30" s="40" t="s">
        <v>326</v>
      </c>
      <c r="E30" s="123">
        <f t="shared" si="0"/>
        <v>6</v>
      </c>
      <c r="F30" s="33">
        <f t="shared" si="1"/>
        <v>0</v>
      </c>
      <c r="G30" s="34">
        <f>C_S_G($H30:X30,$H$9:X$9,csg_table,E$9,F30)</f>
        <v>0.777027027027027</v>
      </c>
      <c r="H30" s="33"/>
      <c r="I30" s="33"/>
      <c r="J30" s="33"/>
      <c r="K30" s="33"/>
      <c r="L30" s="33"/>
      <c r="M30" s="33"/>
      <c r="N30" s="33"/>
      <c r="O30" s="33">
        <v>6</v>
      </c>
      <c r="P30" s="33">
        <v>10</v>
      </c>
      <c r="Q30" s="33">
        <v>7</v>
      </c>
      <c r="R30" s="33">
        <v>11</v>
      </c>
      <c r="S30" s="33">
        <v>9</v>
      </c>
      <c r="T30" s="33">
        <v>2</v>
      </c>
      <c r="U30" s="33"/>
      <c r="V30" s="33"/>
      <c r="W30" s="33"/>
      <c r="X30" s="33"/>
    </row>
    <row r="31" spans="3:24" ht="11.25">
      <c r="C31" s="41">
        <v>246</v>
      </c>
      <c r="D31" s="40" t="s">
        <v>163</v>
      </c>
      <c r="E31" s="123">
        <f t="shared" si="0"/>
        <v>6</v>
      </c>
      <c r="F31" s="33">
        <f t="shared" si="1"/>
        <v>0</v>
      </c>
      <c r="G31" s="34">
        <f>C_S_G($H31:X31,$H$9:X$9,csg_table,E$9,F31)</f>
        <v>0.7516891891891891</v>
      </c>
      <c r="H31" s="33"/>
      <c r="I31" s="33"/>
      <c r="J31" s="33"/>
      <c r="K31" s="33"/>
      <c r="L31" s="33"/>
      <c r="M31" s="33"/>
      <c r="N31" s="33"/>
      <c r="O31" s="33">
        <v>4</v>
      </c>
      <c r="P31" s="33">
        <v>13</v>
      </c>
      <c r="Q31" s="33">
        <v>4</v>
      </c>
      <c r="R31" s="33">
        <v>14</v>
      </c>
      <c r="S31" s="33">
        <v>11</v>
      </c>
      <c r="T31" s="33">
        <v>6</v>
      </c>
      <c r="U31" s="33"/>
      <c r="V31" s="33"/>
      <c r="W31" s="33"/>
      <c r="X31" s="33"/>
    </row>
    <row r="32" spans="3:24" ht="11.25">
      <c r="C32" s="41">
        <v>87</v>
      </c>
      <c r="D32" s="40" t="s">
        <v>327</v>
      </c>
      <c r="E32" s="123">
        <f t="shared" si="0"/>
        <v>6</v>
      </c>
      <c r="F32" s="33">
        <f t="shared" si="1"/>
        <v>0</v>
      </c>
      <c r="G32" s="34">
        <f>C_S_G($H32:X32,$H$9:X$9,csg_table,E$9,F32)</f>
        <v>0.7246621621621622</v>
      </c>
      <c r="H32" s="33"/>
      <c r="I32" s="33"/>
      <c r="J32" s="33"/>
      <c r="K32" s="33"/>
      <c r="L32" s="33"/>
      <c r="M32" s="33"/>
      <c r="N32" s="33"/>
      <c r="O32" s="33">
        <v>12</v>
      </c>
      <c r="P32" s="33">
        <v>16</v>
      </c>
      <c r="Q32" s="33">
        <v>6</v>
      </c>
      <c r="R32" s="33">
        <v>8</v>
      </c>
      <c r="S32" s="33">
        <v>10</v>
      </c>
      <c r="T32" s="33">
        <v>7</v>
      </c>
      <c r="U32" s="33"/>
      <c r="V32" s="33"/>
      <c r="W32" s="33"/>
      <c r="X32" s="33"/>
    </row>
    <row r="33" spans="3:24" ht="11.25">
      <c r="C33" s="41">
        <v>22</v>
      </c>
      <c r="D33" s="40" t="s">
        <v>216</v>
      </c>
      <c r="E33" s="123">
        <f t="shared" si="0"/>
        <v>0</v>
      </c>
      <c r="F33" s="33">
        <f t="shared" si="1"/>
        <v>0</v>
      </c>
      <c r="G33" s="34">
        <f>C_S_G($H33:X33,$H$9:X$9,csg_table,E$9,F33)</f>
        <v>0</v>
      </c>
      <c r="H33" s="33"/>
      <c r="I33" s="33"/>
      <c r="J33" s="33"/>
      <c r="K33" s="33"/>
      <c r="L33" s="33"/>
      <c r="M33" s="33"/>
      <c r="N33" s="33"/>
      <c r="O33" s="33"/>
      <c r="P33" s="33"/>
      <c r="Q33" s="33"/>
      <c r="R33" s="33"/>
      <c r="S33" s="33"/>
      <c r="T33" s="33"/>
      <c r="U33" s="33"/>
      <c r="V33" s="33"/>
      <c r="W33" s="33"/>
      <c r="X33" s="33"/>
    </row>
    <row r="34" spans="3:24" ht="11.25">
      <c r="C34" s="51">
        <v>26</v>
      </c>
      <c r="D34" s="61" t="s">
        <v>217</v>
      </c>
      <c r="E34" s="124">
        <f t="shared" si="0"/>
        <v>0</v>
      </c>
      <c r="F34" s="35">
        <f t="shared" si="1"/>
        <v>0</v>
      </c>
      <c r="G34" s="36">
        <f>C_S_G($H34:X34,$H$9:X$9,csg_table,E$9,F34)</f>
        <v>0</v>
      </c>
      <c r="H34" s="35"/>
      <c r="I34" s="35"/>
      <c r="J34" s="35"/>
      <c r="K34" s="35"/>
      <c r="L34" s="35"/>
      <c r="M34" s="35"/>
      <c r="N34" s="35"/>
      <c r="O34" s="35"/>
      <c r="P34" s="35"/>
      <c r="Q34" s="35"/>
      <c r="R34" s="35"/>
      <c r="S34" s="35"/>
      <c r="T34" s="35"/>
      <c r="U34" s="35"/>
      <c r="V34" s="35"/>
      <c r="W34" s="35"/>
      <c r="X34" s="35"/>
    </row>
    <row r="35" ht="11.25">
      <c r="N35" s="28" t="s">
        <v>7</v>
      </c>
    </row>
    <row r="36" spans="4:10" ht="11.25">
      <c r="D36" s="28" t="s">
        <v>557</v>
      </c>
      <c r="J36" s="28" t="s">
        <v>7</v>
      </c>
    </row>
  </sheetData>
  <sheetProtection/>
  <mergeCells count="2">
    <mergeCell ref="H5:K5"/>
    <mergeCell ref="U5:X5"/>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17"/>
  <dimension ref="B2:M18"/>
  <sheetViews>
    <sheetView zoomScalePageLayoutView="0" workbookViewId="0" topLeftCell="A1">
      <selection activeCell="A1" sqref="A1"/>
    </sheetView>
  </sheetViews>
  <sheetFormatPr defaultColWidth="9.140625" defaultRowHeight="12.75"/>
  <cols>
    <col min="1" max="1" width="3.7109375" style="3" customWidth="1"/>
    <col min="2" max="3" width="9.140625" style="11" customWidth="1"/>
    <col min="4" max="4" width="33.8515625" style="3" bestFit="1" customWidth="1"/>
    <col min="5" max="7" width="5.8515625" style="11" bestFit="1" customWidth="1"/>
    <col min="8" max="8" width="5.57421875" style="11" customWidth="1"/>
    <col min="9" max="9" width="5.8515625" style="11" customWidth="1"/>
    <col min="10" max="10" width="5.57421875" style="11" customWidth="1"/>
    <col min="11" max="11" width="5.8515625" style="11" customWidth="1"/>
    <col min="12" max="12" width="4.28125" style="11" bestFit="1" customWidth="1"/>
    <col min="13" max="13" width="3.28125" style="3" bestFit="1" customWidth="1"/>
    <col min="14" max="16384" width="9.140625" style="3" customWidth="1"/>
  </cols>
  <sheetData>
    <row r="2" spans="2:3" ht="15.75">
      <c r="B2" s="22" t="s">
        <v>238</v>
      </c>
      <c r="C2" s="22"/>
    </row>
    <row r="3" spans="2:3" ht="12.75">
      <c r="B3" s="71" t="s">
        <v>226</v>
      </c>
      <c r="C3" s="71"/>
    </row>
    <row r="4" spans="2:12" s="28" customFormat="1" ht="12.75" customHeight="1">
      <c r="B4" s="55" t="s">
        <v>354</v>
      </c>
      <c r="C4" s="55"/>
      <c r="E4" s="25"/>
      <c r="F4" s="25"/>
      <c r="G4" s="25"/>
      <c r="H4" s="25"/>
      <c r="I4" s="25"/>
      <c r="J4" s="25"/>
      <c r="K4" s="25"/>
      <c r="L4" s="25"/>
    </row>
    <row r="5" spans="2:12" s="28" customFormat="1" ht="12.75" customHeight="1">
      <c r="B5" s="55" t="s">
        <v>155</v>
      </c>
      <c r="C5" s="55"/>
      <c r="E5" s="25"/>
      <c r="F5" s="25"/>
      <c r="G5" s="25"/>
      <c r="H5" s="25"/>
      <c r="I5" s="25"/>
      <c r="J5" s="25"/>
      <c r="K5" s="25"/>
      <c r="L5" s="25"/>
    </row>
    <row r="6" spans="2:12" s="28" customFormat="1" ht="12.75" customHeight="1">
      <c r="B6" s="25"/>
      <c r="C6" s="25"/>
      <c r="E6" s="25"/>
      <c r="F6" s="25"/>
      <c r="G6" s="25"/>
      <c r="H6" s="25"/>
      <c r="I6" s="25"/>
      <c r="J6" s="25"/>
      <c r="K6" s="25"/>
      <c r="L6" s="25"/>
    </row>
    <row r="7" spans="2:13" s="28" customFormat="1" ht="11.25">
      <c r="B7" s="42"/>
      <c r="C7" s="42"/>
      <c r="D7" s="42" t="s">
        <v>158</v>
      </c>
      <c r="E7" s="42" t="s">
        <v>95</v>
      </c>
      <c r="F7" s="42" t="s">
        <v>96</v>
      </c>
      <c r="G7" s="42" t="s">
        <v>97</v>
      </c>
      <c r="H7" s="42" t="s">
        <v>106</v>
      </c>
      <c r="I7" s="42" t="s">
        <v>160</v>
      </c>
      <c r="J7" s="42" t="s">
        <v>196</v>
      </c>
      <c r="K7" s="42" t="s">
        <v>197</v>
      </c>
      <c r="L7" s="42" t="s">
        <v>98</v>
      </c>
      <c r="M7" s="39" t="s">
        <v>239</v>
      </c>
    </row>
    <row r="8" spans="2:13" s="28" customFormat="1" ht="11.25">
      <c r="B8" s="57">
        <v>1</v>
      </c>
      <c r="C8" s="57">
        <v>23</v>
      </c>
      <c r="D8" s="38" t="str">
        <f>VLOOKUP(C8,'2005Season'!$C$11:$D$35,2,FALSE)</f>
        <v>Com Crocker/ Kurt Weisenfluh</v>
      </c>
      <c r="E8" s="59">
        <v>6</v>
      </c>
      <c r="F8" s="41">
        <v>1</v>
      </c>
      <c r="G8" s="41">
        <v>2</v>
      </c>
      <c r="H8" s="41">
        <v>2</v>
      </c>
      <c r="I8" s="41">
        <v>1</v>
      </c>
      <c r="J8" s="41">
        <v>3</v>
      </c>
      <c r="K8" s="41">
        <v>4</v>
      </c>
      <c r="L8" s="57">
        <f aca="true" t="shared" si="0" ref="L8:L13">SUM(E8:K8)</f>
        <v>19</v>
      </c>
      <c r="M8" s="39">
        <f aca="true" t="shared" si="1" ref="M8:M13">L8-MAX(E8:K8)</f>
        <v>13</v>
      </c>
    </row>
    <row r="9" spans="2:13" s="28" customFormat="1" ht="11.25">
      <c r="B9" s="57">
        <v>2</v>
      </c>
      <c r="C9" s="57">
        <v>25</v>
      </c>
      <c r="D9" s="40" t="str">
        <f>VLOOKUP(C9,'2005Season'!$C$11:$D$35,2,FALSE)</f>
        <v>Fred Werblow</v>
      </c>
      <c r="E9" s="59">
        <v>3</v>
      </c>
      <c r="F9" s="41">
        <v>3</v>
      </c>
      <c r="G9" s="41">
        <v>6</v>
      </c>
      <c r="H9" s="41">
        <v>1</v>
      </c>
      <c r="I9" s="41">
        <v>3</v>
      </c>
      <c r="J9" s="41">
        <v>2</v>
      </c>
      <c r="K9" s="41">
        <v>1</v>
      </c>
      <c r="L9" s="57">
        <f t="shared" si="0"/>
        <v>19</v>
      </c>
      <c r="M9" s="41">
        <f t="shared" si="1"/>
        <v>13</v>
      </c>
    </row>
    <row r="10" spans="2:13" s="28" customFormat="1" ht="11.25">
      <c r="B10" s="57">
        <v>3</v>
      </c>
      <c r="C10" s="57">
        <v>182</v>
      </c>
      <c r="D10" s="40" t="str">
        <f>VLOOKUP(C10,'2005Season'!$C$11:$D$35,2,FALSE)</f>
        <v>Skip McGuire</v>
      </c>
      <c r="E10" s="59">
        <v>1</v>
      </c>
      <c r="F10" s="41">
        <v>2</v>
      </c>
      <c r="G10" s="41">
        <v>3</v>
      </c>
      <c r="H10" s="41">
        <v>3</v>
      </c>
      <c r="I10" s="41">
        <v>2</v>
      </c>
      <c r="J10" s="41">
        <v>4</v>
      </c>
      <c r="K10" s="41">
        <v>2</v>
      </c>
      <c r="L10" s="57">
        <f t="shared" si="0"/>
        <v>17</v>
      </c>
      <c r="M10" s="41">
        <f t="shared" si="1"/>
        <v>13</v>
      </c>
    </row>
    <row r="11" spans="2:13" s="28" customFormat="1" ht="11.25">
      <c r="B11" s="57">
        <v>4</v>
      </c>
      <c r="C11" s="57">
        <v>142</v>
      </c>
      <c r="D11" s="40" t="str">
        <f>VLOOKUP(C11,'2005Season'!$C$11:$D$35,2,FALSE)</f>
        <v>Justin Gibbons</v>
      </c>
      <c r="E11" s="59">
        <v>2</v>
      </c>
      <c r="F11" s="41">
        <v>4</v>
      </c>
      <c r="G11" s="41">
        <v>1</v>
      </c>
      <c r="H11" s="41">
        <v>4</v>
      </c>
      <c r="I11" s="41">
        <v>5</v>
      </c>
      <c r="J11" s="41">
        <v>1</v>
      </c>
      <c r="K11" s="41">
        <v>3</v>
      </c>
      <c r="L11" s="57">
        <f t="shared" si="0"/>
        <v>20</v>
      </c>
      <c r="M11" s="41">
        <f t="shared" si="1"/>
        <v>15</v>
      </c>
    </row>
    <row r="12" spans="2:13" s="28" customFormat="1" ht="11.25">
      <c r="B12" s="57">
        <v>5</v>
      </c>
      <c r="C12" s="57">
        <v>176</v>
      </c>
      <c r="D12" s="40" t="str">
        <f>VLOOKUP(C12,'2005Season'!$C$11:$D$35,2,FALSE)</f>
        <v>Greg Takata/Doug Campbell/Andrew Wertheim</v>
      </c>
      <c r="E12" s="59">
        <v>5</v>
      </c>
      <c r="F12" s="41">
        <v>6</v>
      </c>
      <c r="G12" s="41">
        <v>7</v>
      </c>
      <c r="H12" s="41">
        <v>5</v>
      </c>
      <c r="I12" s="41">
        <v>4</v>
      </c>
      <c r="J12" s="41">
        <v>5</v>
      </c>
      <c r="K12" s="41">
        <v>6</v>
      </c>
      <c r="L12" s="57">
        <f t="shared" si="0"/>
        <v>38</v>
      </c>
      <c r="M12" s="41">
        <f t="shared" si="1"/>
        <v>31</v>
      </c>
    </row>
    <row r="13" spans="2:13" s="28" customFormat="1" ht="11.25">
      <c r="B13" s="57">
        <v>6</v>
      </c>
      <c r="C13" s="57">
        <v>117</v>
      </c>
      <c r="D13" s="40" t="str">
        <f>VLOOKUP(C13,'2005Season'!$C$11:$D$35,2,FALSE)</f>
        <v>Michael Katz/Bill Gollner</v>
      </c>
      <c r="E13" s="59">
        <v>7</v>
      </c>
      <c r="F13" s="41">
        <v>5</v>
      </c>
      <c r="G13" s="41">
        <v>4</v>
      </c>
      <c r="H13" s="41">
        <v>6</v>
      </c>
      <c r="I13" s="41">
        <v>7</v>
      </c>
      <c r="J13" s="41">
        <v>6</v>
      </c>
      <c r="K13" s="41">
        <v>5</v>
      </c>
      <c r="L13" s="57">
        <f t="shared" si="0"/>
        <v>40</v>
      </c>
      <c r="M13" s="41">
        <f t="shared" si="1"/>
        <v>33</v>
      </c>
    </row>
    <row r="14" spans="2:13" s="28" customFormat="1" ht="11.25">
      <c r="B14" s="57">
        <v>7</v>
      </c>
      <c r="C14" s="57">
        <v>183</v>
      </c>
      <c r="D14" s="40" t="str">
        <f>VLOOKUP(C14,'2005Season'!$C$11:$D$35,2,FALSE)</f>
        <v>Ed Yocum/Paul Massey</v>
      </c>
      <c r="E14" s="59">
        <v>4</v>
      </c>
      <c r="F14" s="41">
        <v>7</v>
      </c>
      <c r="G14" s="41">
        <v>5</v>
      </c>
      <c r="H14" s="41">
        <v>7</v>
      </c>
      <c r="I14" s="41">
        <v>6</v>
      </c>
      <c r="J14" s="41">
        <v>8</v>
      </c>
      <c r="K14" s="41" t="s">
        <v>94</v>
      </c>
      <c r="L14" s="57">
        <f>SUM(E14:K14)+10</f>
        <v>47</v>
      </c>
      <c r="M14" s="41">
        <f>L14-MAX(E14:K14)</f>
        <v>39</v>
      </c>
    </row>
    <row r="15" spans="2:13" s="28" customFormat="1" ht="11.25">
      <c r="B15" s="57">
        <v>8</v>
      </c>
      <c r="C15" s="57">
        <v>38</v>
      </c>
      <c r="D15" s="40" t="str">
        <f>VLOOKUP(C15,'2005Season'!$C$11:$D$35,2,FALSE)</f>
        <v>Jean Pierre Jabart/Alain Concher</v>
      </c>
      <c r="E15" s="59" t="s">
        <v>166</v>
      </c>
      <c r="F15" s="41" t="s">
        <v>166</v>
      </c>
      <c r="G15" s="41" t="s">
        <v>166</v>
      </c>
      <c r="H15" s="41" t="s">
        <v>166</v>
      </c>
      <c r="I15" s="41">
        <v>8</v>
      </c>
      <c r="J15" s="41">
        <v>7</v>
      </c>
      <c r="K15" s="41">
        <v>7</v>
      </c>
      <c r="L15" s="57">
        <f>SUM(E15:K15)+40</f>
        <v>62</v>
      </c>
      <c r="M15" s="41">
        <f>L15-10</f>
        <v>52</v>
      </c>
    </row>
    <row r="16" spans="2:13" s="28" customFormat="1" ht="11.25">
      <c r="B16" s="58">
        <v>9</v>
      </c>
      <c r="C16" s="58">
        <v>5</v>
      </c>
      <c r="D16" s="61" t="str">
        <f>VLOOKUP(C16,'2005Season'!$C$11:$D$35,2,FALSE)</f>
        <v>Pierre Albouy</v>
      </c>
      <c r="E16" s="60">
        <v>8</v>
      </c>
      <c r="F16" s="51" t="s">
        <v>103</v>
      </c>
      <c r="G16" s="51" t="s">
        <v>94</v>
      </c>
      <c r="H16" s="51" t="s">
        <v>94</v>
      </c>
      <c r="I16" s="51" t="s">
        <v>166</v>
      </c>
      <c r="J16" s="51" t="s">
        <v>166</v>
      </c>
      <c r="K16" s="51" t="s">
        <v>166</v>
      </c>
      <c r="L16" s="58">
        <f>SUM(E16:K16)+60</f>
        <v>68</v>
      </c>
      <c r="M16" s="51">
        <f>L16-10</f>
        <v>58</v>
      </c>
    </row>
    <row r="18" spans="2:3" ht="12.75">
      <c r="B18" s="55"/>
      <c r="C18" s="55"/>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18"/>
  <dimension ref="B2:J18"/>
  <sheetViews>
    <sheetView zoomScalePageLayoutView="0" workbookViewId="0" topLeftCell="A1">
      <selection activeCell="L25" sqref="L25"/>
    </sheetView>
  </sheetViews>
  <sheetFormatPr defaultColWidth="9.140625" defaultRowHeight="12.75"/>
  <cols>
    <col min="1" max="1" width="5.421875" style="3" customWidth="1"/>
    <col min="2" max="2" width="9.140625" style="11" customWidth="1"/>
    <col min="3" max="3" width="39.140625" style="3" bestFit="1" customWidth="1"/>
    <col min="4" max="6" width="5.8515625" style="11" bestFit="1" customWidth="1"/>
    <col min="7" max="8" width="5.8515625" style="11" customWidth="1"/>
    <col min="9" max="9" width="4.28125" style="11" bestFit="1" customWidth="1"/>
    <col min="10" max="10" width="3.28125" style="3" bestFit="1" customWidth="1"/>
    <col min="11" max="16384" width="9.140625" style="3" customWidth="1"/>
  </cols>
  <sheetData>
    <row r="2" ht="15.75">
      <c r="B2" s="22" t="s">
        <v>238</v>
      </c>
    </row>
    <row r="3" ht="12.75">
      <c r="B3" s="71" t="s">
        <v>226</v>
      </c>
    </row>
    <row r="4" spans="2:9" s="28" customFormat="1" ht="12.75" customHeight="1">
      <c r="B4" s="55" t="s">
        <v>236</v>
      </c>
      <c r="D4" s="25"/>
      <c r="E4" s="25"/>
      <c r="F4" s="25"/>
      <c r="G4" s="25"/>
      <c r="H4" s="25"/>
      <c r="I4" s="25"/>
    </row>
    <row r="5" spans="2:9" s="28" customFormat="1" ht="12.75" customHeight="1">
      <c r="B5" s="55" t="s">
        <v>155</v>
      </c>
      <c r="D5" s="25"/>
      <c r="E5" s="25"/>
      <c r="F5" s="25"/>
      <c r="G5" s="25"/>
      <c r="H5" s="25"/>
      <c r="I5" s="25"/>
    </row>
    <row r="6" spans="2:9" s="28" customFormat="1" ht="12.75" customHeight="1">
      <c r="B6" s="25"/>
      <c r="D6" s="25"/>
      <c r="E6" s="25"/>
      <c r="F6" s="25"/>
      <c r="G6" s="25"/>
      <c r="H6" s="25"/>
      <c r="I6" s="25"/>
    </row>
    <row r="7" spans="2:10" s="28" customFormat="1" ht="11.25">
      <c r="B7" s="42"/>
      <c r="C7" s="42" t="s">
        <v>158</v>
      </c>
      <c r="D7" s="42" t="s">
        <v>95</v>
      </c>
      <c r="E7" s="42" t="s">
        <v>96</v>
      </c>
      <c r="F7" s="42" t="s">
        <v>97</v>
      </c>
      <c r="G7" s="42" t="s">
        <v>106</v>
      </c>
      <c r="H7" s="42" t="s">
        <v>160</v>
      </c>
      <c r="I7" s="42" t="s">
        <v>98</v>
      </c>
      <c r="J7" s="42" t="s">
        <v>239</v>
      </c>
    </row>
    <row r="8" spans="2:10" s="28" customFormat="1" ht="11.25">
      <c r="B8" s="57">
        <v>1</v>
      </c>
      <c r="C8" s="40" t="s">
        <v>121</v>
      </c>
      <c r="D8" s="59">
        <v>4</v>
      </c>
      <c r="E8" s="41">
        <v>1</v>
      </c>
      <c r="F8" s="41">
        <v>1</v>
      </c>
      <c r="G8" s="41">
        <v>7</v>
      </c>
      <c r="H8" s="41">
        <v>1</v>
      </c>
      <c r="I8" s="41">
        <f aca="true" t="shared" si="0" ref="I8:I14">SUM(D8:H8)</f>
        <v>14</v>
      </c>
      <c r="J8" s="41">
        <f aca="true" t="shared" si="1" ref="J8:J14">I8-MAX(D8:H8)</f>
        <v>7</v>
      </c>
    </row>
    <row r="9" spans="2:10" s="28" customFormat="1" ht="11.25">
      <c r="B9" s="57">
        <v>2</v>
      </c>
      <c r="C9" s="40" t="s">
        <v>109</v>
      </c>
      <c r="D9" s="59">
        <v>1</v>
      </c>
      <c r="E9" s="41">
        <v>3</v>
      </c>
      <c r="F9" s="41">
        <v>4</v>
      </c>
      <c r="G9" s="41">
        <v>1</v>
      </c>
      <c r="H9" s="41">
        <v>3</v>
      </c>
      <c r="I9" s="41">
        <f t="shared" si="0"/>
        <v>12</v>
      </c>
      <c r="J9" s="41">
        <f t="shared" si="1"/>
        <v>8</v>
      </c>
    </row>
    <row r="10" spans="2:10" s="28" customFormat="1" ht="11.25">
      <c r="B10" s="57">
        <v>3</v>
      </c>
      <c r="C10" s="40" t="s">
        <v>123</v>
      </c>
      <c r="D10" s="59">
        <v>2</v>
      </c>
      <c r="E10" s="41">
        <v>2</v>
      </c>
      <c r="F10" s="41">
        <v>5</v>
      </c>
      <c r="G10" s="41">
        <v>2</v>
      </c>
      <c r="H10" s="41">
        <v>2</v>
      </c>
      <c r="I10" s="41">
        <f t="shared" si="0"/>
        <v>13</v>
      </c>
      <c r="J10" s="41">
        <f t="shared" si="1"/>
        <v>8</v>
      </c>
    </row>
    <row r="11" spans="2:10" s="28" customFormat="1" ht="11.25">
      <c r="B11" s="57">
        <v>4</v>
      </c>
      <c r="C11" s="40" t="s">
        <v>206</v>
      </c>
      <c r="D11" s="59">
        <v>3</v>
      </c>
      <c r="E11" s="41">
        <v>4</v>
      </c>
      <c r="F11" s="41">
        <v>2</v>
      </c>
      <c r="G11" s="41">
        <v>4</v>
      </c>
      <c r="H11" s="41">
        <v>5</v>
      </c>
      <c r="I11" s="41">
        <f t="shared" si="0"/>
        <v>18</v>
      </c>
      <c r="J11" s="41">
        <f t="shared" si="1"/>
        <v>13</v>
      </c>
    </row>
    <row r="12" spans="2:10" s="28" customFormat="1" ht="11.25">
      <c r="B12" s="57">
        <v>5</v>
      </c>
      <c r="C12" s="40" t="s">
        <v>126</v>
      </c>
      <c r="D12" s="59">
        <v>7</v>
      </c>
      <c r="E12" s="41">
        <v>6</v>
      </c>
      <c r="F12" s="41">
        <v>6</v>
      </c>
      <c r="G12" s="41">
        <v>3</v>
      </c>
      <c r="H12" s="41">
        <v>4</v>
      </c>
      <c r="I12" s="41">
        <f t="shared" si="0"/>
        <v>26</v>
      </c>
      <c r="J12" s="41">
        <f t="shared" si="1"/>
        <v>19</v>
      </c>
    </row>
    <row r="13" spans="2:10" s="28" customFormat="1" ht="11.25">
      <c r="B13" s="57">
        <v>6</v>
      </c>
      <c r="C13" s="40" t="s">
        <v>107</v>
      </c>
      <c r="D13" s="59">
        <v>5</v>
      </c>
      <c r="E13" s="41">
        <v>5</v>
      </c>
      <c r="F13" s="41">
        <v>3</v>
      </c>
      <c r="G13" s="41">
        <v>6</v>
      </c>
      <c r="H13" s="41">
        <v>7</v>
      </c>
      <c r="I13" s="41">
        <f t="shared" si="0"/>
        <v>26</v>
      </c>
      <c r="J13" s="41">
        <f t="shared" si="1"/>
        <v>19</v>
      </c>
    </row>
    <row r="14" spans="2:10" s="28" customFormat="1" ht="11.25">
      <c r="B14" s="57">
        <v>7</v>
      </c>
      <c r="C14" s="40" t="s">
        <v>108</v>
      </c>
      <c r="D14" s="59">
        <v>6</v>
      </c>
      <c r="E14" s="41">
        <v>7</v>
      </c>
      <c r="F14" s="41">
        <v>8</v>
      </c>
      <c r="G14" s="41">
        <v>8</v>
      </c>
      <c r="H14" s="41">
        <v>8</v>
      </c>
      <c r="I14" s="41">
        <f t="shared" si="0"/>
        <v>37</v>
      </c>
      <c r="J14" s="41">
        <f t="shared" si="1"/>
        <v>29</v>
      </c>
    </row>
    <row r="15" spans="2:10" s="28" customFormat="1" ht="11.25">
      <c r="B15" s="57">
        <v>8</v>
      </c>
      <c r="C15" s="40" t="s">
        <v>237</v>
      </c>
      <c r="D15" s="59" t="s">
        <v>166</v>
      </c>
      <c r="E15" s="41" t="s">
        <v>166</v>
      </c>
      <c r="F15" s="41" t="s">
        <v>166</v>
      </c>
      <c r="G15" s="41">
        <v>5</v>
      </c>
      <c r="H15" s="41">
        <v>6</v>
      </c>
      <c r="I15" s="41">
        <v>41</v>
      </c>
      <c r="J15" s="41">
        <v>31</v>
      </c>
    </row>
    <row r="16" spans="2:10" s="28" customFormat="1" ht="11.25">
      <c r="B16" s="58">
        <v>9</v>
      </c>
      <c r="C16" s="61" t="s">
        <v>127</v>
      </c>
      <c r="D16" s="60" t="s">
        <v>165</v>
      </c>
      <c r="E16" s="51">
        <v>8</v>
      </c>
      <c r="F16" s="51">
        <v>7</v>
      </c>
      <c r="G16" s="51" t="s">
        <v>166</v>
      </c>
      <c r="H16" s="51" t="s">
        <v>166</v>
      </c>
      <c r="I16" s="51">
        <f>SUM(D16:H16)+30</f>
        <v>45</v>
      </c>
      <c r="J16" s="51">
        <f>I16-10</f>
        <v>35</v>
      </c>
    </row>
    <row r="18" ht="12.75">
      <c r="B18" s="55"/>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19"/>
  <dimension ref="B2:H57"/>
  <sheetViews>
    <sheetView zoomScalePageLayoutView="0" workbookViewId="0" topLeftCell="A1">
      <selection activeCell="A1" sqref="A1"/>
    </sheetView>
  </sheetViews>
  <sheetFormatPr defaultColWidth="9.140625" defaultRowHeight="12.75"/>
  <cols>
    <col min="1" max="3" width="9.140625" style="28" customWidth="1"/>
    <col min="4" max="4" width="25.7109375" style="28" bestFit="1" customWidth="1"/>
    <col min="5" max="16384" width="9.140625" style="28" customWidth="1"/>
  </cols>
  <sheetData>
    <row r="2" spans="2:3" ht="15.75">
      <c r="B2" s="22" t="s">
        <v>262</v>
      </c>
      <c r="C2" s="3"/>
    </row>
    <row r="3" spans="2:3" ht="12.75">
      <c r="B3" s="71" t="s">
        <v>257</v>
      </c>
      <c r="C3" s="3"/>
    </row>
    <row r="4" ht="11.25">
      <c r="B4" s="98">
        <v>38619</v>
      </c>
    </row>
    <row r="5" ht="11.25">
      <c r="B5" s="55" t="s">
        <v>155</v>
      </c>
    </row>
    <row r="7" spans="2:7" ht="11.25">
      <c r="B7" s="73"/>
      <c r="C7" s="73"/>
      <c r="D7" s="73"/>
      <c r="E7" s="73"/>
      <c r="F7" s="73"/>
      <c r="G7" s="73"/>
    </row>
    <row r="8" spans="2:7" ht="11.25">
      <c r="B8" s="92"/>
      <c r="C8" s="85" t="s">
        <v>256</v>
      </c>
      <c r="D8" s="85" t="s">
        <v>272</v>
      </c>
      <c r="E8" s="85" t="s">
        <v>95</v>
      </c>
      <c r="F8" s="85" t="s">
        <v>96</v>
      </c>
      <c r="G8" s="85" t="s">
        <v>98</v>
      </c>
    </row>
    <row r="9" spans="2:8" ht="11.25">
      <c r="B9" s="39" t="s">
        <v>240</v>
      </c>
      <c r="C9" s="59">
        <v>41</v>
      </c>
      <c r="D9" s="99" t="s">
        <v>447</v>
      </c>
      <c r="E9" s="39">
        <v>3</v>
      </c>
      <c r="F9" s="41">
        <v>1</v>
      </c>
      <c r="G9" s="39">
        <f>E9+F9</f>
        <v>4</v>
      </c>
      <c r="H9" s="167">
        <v>1</v>
      </c>
    </row>
    <row r="10" spans="2:8" ht="11.25">
      <c r="B10" s="41" t="s">
        <v>242</v>
      </c>
      <c r="C10" s="59">
        <v>54</v>
      </c>
      <c r="D10" s="74" t="s">
        <v>219</v>
      </c>
      <c r="E10" s="41">
        <v>1</v>
      </c>
      <c r="F10" s="41">
        <v>3</v>
      </c>
      <c r="G10" s="41">
        <f>E10+F10</f>
        <v>4</v>
      </c>
      <c r="H10" s="167">
        <v>2</v>
      </c>
    </row>
    <row r="11" spans="2:8" ht="11.25">
      <c r="B11" s="41" t="s">
        <v>243</v>
      </c>
      <c r="C11" s="59">
        <v>176</v>
      </c>
      <c r="D11" s="74" t="s">
        <v>448</v>
      </c>
      <c r="E11" s="41">
        <v>2</v>
      </c>
      <c r="F11" s="41">
        <v>2</v>
      </c>
      <c r="G11" s="41">
        <f>E11+F11</f>
        <v>4</v>
      </c>
      <c r="H11" s="167">
        <v>3</v>
      </c>
    </row>
    <row r="12" spans="2:8" ht="11.25">
      <c r="B12" s="41" t="s">
        <v>245</v>
      </c>
      <c r="C12" s="59">
        <v>23</v>
      </c>
      <c r="D12" s="74" t="s">
        <v>445</v>
      </c>
      <c r="E12" s="41">
        <v>4</v>
      </c>
      <c r="F12" s="41">
        <v>4</v>
      </c>
      <c r="G12" s="41">
        <f>E12+F12</f>
        <v>8</v>
      </c>
      <c r="H12" s="167">
        <v>4</v>
      </c>
    </row>
    <row r="13" spans="2:8" ht="11.25">
      <c r="B13" s="51" t="s">
        <v>247</v>
      </c>
      <c r="C13" s="60">
        <v>38</v>
      </c>
      <c r="D13" s="75" t="s">
        <v>446</v>
      </c>
      <c r="E13" s="51" t="s">
        <v>103</v>
      </c>
      <c r="F13" s="51" t="s">
        <v>94</v>
      </c>
      <c r="G13" s="51">
        <v>12</v>
      </c>
      <c r="H13" s="167">
        <v>5</v>
      </c>
    </row>
    <row r="15" spans="2:3" ht="11.25">
      <c r="B15" s="28" t="s">
        <v>547</v>
      </c>
      <c r="C15" s="25">
        <v>25</v>
      </c>
    </row>
    <row r="16" ht="11.25">
      <c r="C16" s="25">
        <v>142</v>
      </c>
    </row>
    <row r="17" ht="12.75">
      <c r="B17" s="76"/>
    </row>
    <row r="18" ht="15.75">
      <c r="B18" s="4" t="s">
        <v>420</v>
      </c>
    </row>
    <row r="20" spans="2:8" ht="33.75" customHeight="1">
      <c r="B20" s="238" t="s">
        <v>421</v>
      </c>
      <c r="C20" s="238"/>
      <c r="D20" s="238"/>
      <c r="E20" s="238"/>
      <c r="F20" s="238"/>
      <c r="G20" s="238"/>
      <c r="H20" s="238"/>
    </row>
    <row r="22" ht="11.25">
      <c r="B22" s="28" t="s">
        <v>422</v>
      </c>
    </row>
    <row r="24" ht="11.25">
      <c r="B24" s="28" t="s">
        <v>423</v>
      </c>
    </row>
    <row r="25" ht="11.25">
      <c r="B25" s="28" t="s">
        <v>424</v>
      </c>
    </row>
    <row r="26" ht="11.25">
      <c r="B26" s="28" t="s">
        <v>449</v>
      </c>
    </row>
    <row r="27" ht="11.25">
      <c r="B27" s="28" t="s">
        <v>425</v>
      </c>
    </row>
    <row r="28" ht="11.25">
      <c r="B28" s="28" t="s">
        <v>426</v>
      </c>
    </row>
    <row r="30" spans="2:8" ht="33.75" customHeight="1">
      <c r="B30" s="238" t="s">
        <v>427</v>
      </c>
      <c r="C30" s="238"/>
      <c r="D30" s="238"/>
      <c r="E30" s="238"/>
      <c r="F30" s="238"/>
      <c r="G30" s="238"/>
      <c r="H30" s="238"/>
    </row>
    <row r="32" spans="2:8" ht="33.75" customHeight="1">
      <c r="B32" s="238" t="s">
        <v>428</v>
      </c>
      <c r="C32" s="238"/>
      <c r="D32" s="238"/>
      <c r="E32" s="238"/>
      <c r="F32" s="238"/>
      <c r="G32" s="238"/>
      <c r="H32" s="238"/>
    </row>
    <row r="34" spans="2:8" ht="33.75" customHeight="1">
      <c r="B34" s="238" t="s">
        <v>429</v>
      </c>
      <c r="C34" s="238"/>
      <c r="D34" s="238"/>
      <c r="E34" s="238"/>
      <c r="F34" s="238"/>
      <c r="G34" s="238"/>
      <c r="H34" s="238"/>
    </row>
    <row r="36" ht="11.25">
      <c r="B36" s="28" t="s">
        <v>430</v>
      </c>
    </row>
    <row r="38" ht="11.25">
      <c r="B38" s="28" t="s">
        <v>431</v>
      </c>
    </row>
    <row r="39" ht="11.25">
      <c r="B39" s="28" t="s">
        <v>432</v>
      </c>
    </row>
    <row r="40" ht="11.25">
      <c r="B40" s="28" t="s">
        <v>433</v>
      </c>
    </row>
    <row r="41" ht="11.25">
      <c r="B41" s="28" t="s">
        <v>434</v>
      </c>
    </row>
    <row r="42" ht="11.25">
      <c r="B42" s="28" t="s">
        <v>435</v>
      </c>
    </row>
    <row r="44" ht="11.25">
      <c r="B44" s="28" t="s">
        <v>436</v>
      </c>
    </row>
    <row r="45" ht="11.25">
      <c r="B45" s="28" t="s">
        <v>437</v>
      </c>
    </row>
    <row r="47" ht="11.25">
      <c r="B47" s="28" t="s">
        <v>438</v>
      </c>
    </row>
    <row r="48" ht="11.25">
      <c r="B48" s="28" t="s">
        <v>439</v>
      </c>
    </row>
    <row r="49" ht="11.25">
      <c r="B49" s="28" t="s">
        <v>440</v>
      </c>
    </row>
    <row r="50" ht="11.25">
      <c r="B50" s="28" t="s">
        <v>441</v>
      </c>
    </row>
    <row r="51" spans="2:8" ht="33.75" customHeight="1">
      <c r="B51" s="238" t="s">
        <v>442</v>
      </c>
      <c r="C51" s="238"/>
      <c r="D51" s="238"/>
      <c r="E51" s="238"/>
      <c r="F51" s="238"/>
      <c r="G51" s="238"/>
      <c r="H51" s="238"/>
    </row>
    <row r="53" ht="11.25">
      <c r="B53" s="28" t="s">
        <v>443</v>
      </c>
    </row>
    <row r="55" ht="11.25">
      <c r="B55" s="28" t="s">
        <v>162</v>
      </c>
    </row>
    <row r="57" ht="11.25">
      <c r="B57" s="28" t="s">
        <v>444</v>
      </c>
    </row>
  </sheetData>
  <sheetProtection/>
  <mergeCells count="5">
    <mergeCell ref="B51:H51"/>
    <mergeCell ref="B20:H20"/>
    <mergeCell ref="B30:H30"/>
    <mergeCell ref="B32:H32"/>
    <mergeCell ref="B34:H34"/>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Sheet20"/>
  <dimension ref="B2:G22"/>
  <sheetViews>
    <sheetView zoomScalePageLayoutView="0" workbookViewId="0" topLeftCell="A1">
      <selection activeCell="A2" sqref="A1:IV16384"/>
    </sheetView>
  </sheetViews>
  <sheetFormatPr defaultColWidth="9.140625" defaultRowHeight="12.75"/>
  <cols>
    <col min="1" max="3" width="9.140625" style="28" customWidth="1"/>
    <col min="4" max="4" width="25.7109375" style="28" bestFit="1" customWidth="1"/>
    <col min="5" max="16384" width="9.140625" style="28" customWidth="1"/>
  </cols>
  <sheetData>
    <row r="2" spans="2:3" ht="15.75">
      <c r="B2" s="22" t="s">
        <v>262</v>
      </c>
      <c r="C2" s="3"/>
    </row>
    <row r="3" spans="2:3" ht="12.75">
      <c r="B3" s="71" t="s">
        <v>257</v>
      </c>
      <c r="C3" s="3"/>
    </row>
    <row r="4" ht="11.25">
      <c r="B4" s="98">
        <v>38256</v>
      </c>
    </row>
    <row r="5" ht="11.25">
      <c r="B5" s="55" t="s">
        <v>155</v>
      </c>
    </row>
    <row r="7" spans="2:7" ht="11.25">
      <c r="B7" s="73"/>
      <c r="C7" s="73"/>
      <c r="D7" s="73"/>
      <c r="E7" s="73"/>
      <c r="F7" s="73"/>
      <c r="G7" s="73"/>
    </row>
    <row r="8" spans="2:7" ht="11.25">
      <c r="B8" s="85"/>
      <c r="C8" s="85" t="s">
        <v>256</v>
      </c>
      <c r="D8" s="85" t="s">
        <v>272</v>
      </c>
      <c r="E8" s="85" t="s">
        <v>95</v>
      </c>
      <c r="F8" s="85" t="s">
        <v>96</v>
      </c>
      <c r="G8" s="85" t="s">
        <v>98</v>
      </c>
    </row>
    <row r="9" spans="2:7" ht="11.25">
      <c r="B9" s="41" t="s">
        <v>240</v>
      </c>
      <c r="C9" s="41">
        <v>49</v>
      </c>
      <c r="D9" s="99" t="s">
        <v>270</v>
      </c>
      <c r="E9" s="39">
        <v>1</v>
      </c>
      <c r="F9" s="41">
        <v>2</v>
      </c>
      <c r="G9" s="39">
        <f aca="true" t="shared" si="0" ref="G9:G18">E9+F9</f>
        <v>3</v>
      </c>
    </row>
    <row r="10" spans="2:7" ht="11.25">
      <c r="B10" s="41" t="s">
        <v>242</v>
      </c>
      <c r="C10" s="41">
        <v>38</v>
      </c>
      <c r="D10" s="74" t="s">
        <v>267</v>
      </c>
      <c r="E10" s="41">
        <v>5</v>
      </c>
      <c r="F10" s="41">
        <v>1</v>
      </c>
      <c r="G10" s="41">
        <f t="shared" si="0"/>
        <v>6</v>
      </c>
    </row>
    <row r="11" spans="2:7" ht="11.25">
      <c r="B11" s="41" t="s">
        <v>243</v>
      </c>
      <c r="C11" s="41">
        <v>41</v>
      </c>
      <c r="D11" s="74" t="s">
        <v>271</v>
      </c>
      <c r="E11" s="41">
        <v>3</v>
      </c>
      <c r="F11" s="41">
        <v>4</v>
      </c>
      <c r="G11" s="41">
        <f t="shared" si="0"/>
        <v>7</v>
      </c>
    </row>
    <row r="12" spans="2:7" ht="11.25">
      <c r="B12" s="41" t="s">
        <v>245</v>
      </c>
      <c r="C12" s="41">
        <v>70</v>
      </c>
      <c r="D12" s="74" t="s">
        <v>269</v>
      </c>
      <c r="E12" s="41">
        <v>2</v>
      </c>
      <c r="F12" s="41">
        <v>7</v>
      </c>
      <c r="G12" s="41">
        <f t="shared" si="0"/>
        <v>9</v>
      </c>
    </row>
    <row r="13" spans="2:7" ht="11.25">
      <c r="B13" s="41" t="s">
        <v>247</v>
      </c>
      <c r="C13" s="41">
        <v>25</v>
      </c>
      <c r="D13" s="74" t="s">
        <v>264</v>
      </c>
      <c r="E13" s="41">
        <v>7</v>
      </c>
      <c r="F13" s="41">
        <v>3</v>
      </c>
      <c r="G13" s="41">
        <f t="shared" si="0"/>
        <v>10</v>
      </c>
    </row>
    <row r="14" spans="2:7" ht="11.25">
      <c r="B14" s="41" t="s">
        <v>248</v>
      </c>
      <c r="C14" s="41">
        <v>197</v>
      </c>
      <c r="D14" s="74" t="s">
        <v>268</v>
      </c>
      <c r="E14" s="41">
        <v>4</v>
      </c>
      <c r="F14" s="41">
        <v>6</v>
      </c>
      <c r="G14" s="41">
        <f t="shared" si="0"/>
        <v>10</v>
      </c>
    </row>
    <row r="15" spans="2:7" ht="11.25">
      <c r="B15" s="41" t="s">
        <v>249</v>
      </c>
      <c r="C15" s="41">
        <v>176</v>
      </c>
      <c r="D15" s="74" t="s">
        <v>273</v>
      </c>
      <c r="E15" s="41">
        <v>6</v>
      </c>
      <c r="F15" s="41">
        <v>5</v>
      </c>
      <c r="G15" s="41">
        <f t="shared" si="0"/>
        <v>11</v>
      </c>
    </row>
    <row r="16" spans="2:7" ht="11.25">
      <c r="B16" s="41" t="s">
        <v>250</v>
      </c>
      <c r="C16" s="41">
        <v>142</v>
      </c>
      <c r="D16" s="74" t="s">
        <v>263</v>
      </c>
      <c r="E16" s="41">
        <v>10</v>
      </c>
      <c r="F16" s="41">
        <v>8</v>
      </c>
      <c r="G16" s="41">
        <f t="shared" si="0"/>
        <v>18</v>
      </c>
    </row>
    <row r="17" spans="2:7" ht="11.25">
      <c r="B17" s="41" t="s">
        <v>251</v>
      </c>
      <c r="C17" s="41">
        <v>54</v>
      </c>
      <c r="D17" s="74" t="s">
        <v>266</v>
      </c>
      <c r="E17" s="41">
        <v>8</v>
      </c>
      <c r="F17" s="41">
        <v>10</v>
      </c>
      <c r="G17" s="41">
        <f t="shared" si="0"/>
        <v>18</v>
      </c>
    </row>
    <row r="18" spans="2:7" ht="11.25">
      <c r="B18" s="51" t="s">
        <v>252</v>
      </c>
      <c r="C18" s="51">
        <v>117</v>
      </c>
      <c r="D18" s="75" t="s">
        <v>265</v>
      </c>
      <c r="E18" s="51">
        <v>9</v>
      </c>
      <c r="F18" s="51">
        <v>9</v>
      </c>
      <c r="G18" s="51">
        <f t="shared" si="0"/>
        <v>18</v>
      </c>
    </row>
    <row r="22" ht="12.75">
      <c r="B22" s="76"/>
    </row>
  </sheetData>
  <sheetProtection/>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codeName="Sheet21"/>
  <dimension ref="B2:I24"/>
  <sheetViews>
    <sheetView zoomScalePageLayoutView="0" workbookViewId="0" topLeftCell="A1">
      <selection activeCell="A2" sqref="A1:IV16384"/>
    </sheetView>
  </sheetViews>
  <sheetFormatPr defaultColWidth="9.140625" defaultRowHeight="12.75"/>
  <cols>
    <col min="1" max="3" width="9.140625" style="28" customWidth="1"/>
    <col min="4" max="4" width="34.28125" style="28" bestFit="1" customWidth="1"/>
    <col min="5" max="5" width="6.8515625" style="28" customWidth="1"/>
    <col min="6" max="16384" width="9.140625" style="28" customWidth="1"/>
  </cols>
  <sheetData>
    <row r="2" spans="2:3" ht="15.75">
      <c r="B2" s="22" t="s">
        <v>258</v>
      </c>
      <c r="C2" s="3"/>
    </row>
    <row r="3" spans="2:3" ht="12.75">
      <c r="B3" s="71" t="s">
        <v>257</v>
      </c>
      <c r="C3" s="3"/>
    </row>
    <row r="4" ht="11.25">
      <c r="B4" s="55" t="s">
        <v>260</v>
      </c>
    </row>
    <row r="5" ht="11.25">
      <c r="B5" s="55" t="s">
        <v>155</v>
      </c>
    </row>
    <row r="7" spans="2:9" ht="11.25">
      <c r="B7" s="73" t="s">
        <v>255</v>
      </c>
      <c r="C7" s="73"/>
      <c r="D7" s="73"/>
      <c r="E7" s="73"/>
      <c r="F7" s="73"/>
      <c r="G7" s="73"/>
      <c r="H7" s="73"/>
      <c r="I7" s="73"/>
    </row>
    <row r="8" spans="2:9" ht="11.25">
      <c r="B8" s="73"/>
      <c r="C8" s="73"/>
      <c r="D8" s="73"/>
      <c r="E8" s="73"/>
      <c r="F8" s="73"/>
      <c r="G8" s="73"/>
      <c r="H8" s="73"/>
      <c r="I8" s="73"/>
    </row>
    <row r="9" spans="2:9" ht="11.25">
      <c r="B9" s="85"/>
      <c r="C9" s="85" t="s">
        <v>256</v>
      </c>
      <c r="D9" s="85" t="s">
        <v>158</v>
      </c>
      <c r="E9" s="85" t="s">
        <v>261</v>
      </c>
      <c r="F9" s="85" t="s">
        <v>95</v>
      </c>
      <c r="G9" s="85" t="s">
        <v>96</v>
      </c>
      <c r="H9" s="85" t="s">
        <v>97</v>
      </c>
      <c r="I9" s="85" t="s">
        <v>98</v>
      </c>
    </row>
    <row r="10" spans="2:9" ht="11.25">
      <c r="B10" s="41" t="s">
        <v>240</v>
      </c>
      <c r="C10" s="41">
        <v>221</v>
      </c>
      <c r="D10" s="74" t="s">
        <v>241</v>
      </c>
      <c r="E10" s="41" t="s">
        <v>117</v>
      </c>
      <c r="F10" s="41">
        <v>1</v>
      </c>
      <c r="G10" s="41">
        <v>3</v>
      </c>
      <c r="H10" s="41">
        <v>1</v>
      </c>
      <c r="I10" s="41">
        <v>5</v>
      </c>
    </row>
    <row r="11" spans="2:9" ht="11.25">
      <c r="B11" s="41" t="s">
        <v>242</v>
      </c>
      <c r="C11" s="41">
        <v>49</v>
      </c>
      <c r="D11" s="74" t="s">
        <v>244</v>
      </c>
      <c r="E11" s="41" t="s">
        <v>117</v>
      </c>
      <c r="F11" s="41">
        <v>3</v>
      </c>
      <c r="G11" s="41">
        <v>1</v>
      </c>
      <c r="H11" s="41">
        <v>2</v>
      </c>
      <c r="I11" s="41">
        <v>6</v>
      </c>
    </row>
    <row r="12" spans="2:9" ht="11.25">
      <c r="B12" s="41" t="s">
        <v>243</v>
      </c>
      <c r="C12" s="41">
        <v>231</v>
      </c>
      <c r="D12" s="74" t="s">
        <v>246</v>
      </c>
      <c r="E12" s="41" t="s">
        <v>117</v>
      </c>
      <c r="F12" s="41">
        <v>4</v>
      </c>
      <c r="G12" s="41">
        <v>2</v>
      </c>
      <c r="H12" s="41">
        <v>3</v>
      </c>
      <c r="I12" s="41">
        <v>9</v>
      </c>
    </row>
    <row r="13" spans="2:9" ht="11.25">
      <c r="B13" s="41" t="s">
        <v>245</v>
      </c>
      <c r="C13" s="41">
        <v>25</v>
      </c>
      <c r="D13" s="74" t="s">
        <v>176</v>
      </c>
      <c r="E13" s="41" t="s">
        <v>117</v>
      </c>
      <c r="F13" s="41">
        <v>5</v>
      </c>
      <c r="G13" s="41">
        <v>4</v>
      </c>
      <c r="H13" s="41">
        <v>4</v>
      </c>
      <c r="I13" s="41">
        <v>13</v>
      </c>
    </row>
    <row r="14" spans="2:9" ht="11.25">
      <c r="B14" s="41" t="s">
        <v>247</v>
      </c>
      <c r="C14" s="41">
        <v>117</v>
      </c>
      <c r="D14" s="74" t="s">
        <v>182</v>
      </c>
      <c r="E14" s="41" t="s">
        <v>117</v>
      </c>
      <c r="F14" s="41">
        <v>9</v>
      </c>
      <c r="G14" s="41">
        <v>5</v>
      </c>
      <c r="H14" s="41">
        <v>5</v>
      </c>
      <c r="I14" s="41">
        <v>19</v>
      </c>
    </row>
    <row r="15" spans="2:9" ht="11.25">
      <c r="B15" s="41" t="s">
        <v>248</v>
      </c>
      <c r="C15" s="41">
        <v>142</v>
      </c>
      <c r="D15" s="74" t="s">
        <v>184</v>
      </c>
      <c r="E15" s="41" t="s">
        <v>117</v>
      </c>
      <c r="F15" s="41">
        <v>10</v>
      </c>
      <c r="G15" s="41">
        <v>6</v>
      </c>
      <c r="H15" s="41">
        <v>6</v>
      </c>
      <c r="I15" s="41">
        <v>22</v>
      </c>
    </row>
    <row r="16" spans="2:9" ht="11.25">
      <c r="B16" s="41" t="s">
        <v>249</v>
      </c>
      <c r="C16" s="41">
        <v>106</v>
      </c>
      <c r="D16" s="74" t="s">
        <v>174</v>
      </c>
      <c r="E16" s="41" t="s">
        <v>117</v>
      </c>
      <c r="F16" s="41">
        <v>2</v>
      </c>
      <c r="G16" s="41" t="s">
        <v>166</v>
      </c>
      <c r="H16" s="41" t="s">
        <v>166</v>
      </c>
      <c r="I16" s="41">
        <v>26</v>
      </c>
    </row>
    <row r="17" spans="2:9" ht="11.25">
      <c r="B17" s="41" t="s">
        <v>250</v>
      </c>
      <c r="C17" s="41">
        <v>176</v>
      </c>
      <c r="D17" s="74" t="s">
        <v>254</v>
      </c>
      <c r="E17" s="41" t="s">
        <v>117</v>
      </c>
      <c r="F17" s="41">
        <v>6</v>
      </c>
      <c r="G17" s="41" t="s">
        <v>166</v>
      </c>
      <c r="H17" s="41" t="s">
        <v>166</v>
      </c>
      <c r="I17" s="41">
        <v>30</v>
      </c>
    </row>
    <row r="18" spans="2:9" ht="11.25">
      <c r="B18" s="41" t="s">
        <v>251</v>
      </c>
      <c r="C18" s="41">
        <v>38</v>
      </c>
      <c r="D18" s="40" t="s">
        <v>208</v>
      </c>
      <c r="E18" s="41" t="s">
        <v>117</v>
      </c>
      <c r="F18" s="41">
        <v>7</v>
      </c>
      <c r="G18" s="41" t="s">
        <v>166</v>
      </c>
      <c r="H18" s="41" t="s">
        <v>166</v>
      </c>
      <c r="I18" s="41">
        <v>31</v>
      </c>
    </row>
    <row r="19" spans="2:9" ht="11.25">
      <c r="B19" s="41" t="s">
        <v>252</v>
      </c>
      <c r="C19" s="41">
        <v>197</v>
      </c>
      <c r="D19" s="74" t="s">
        <v>183</v>
      </c>
      <c r="E19" s="41" t="s">
        <v>117</v>
      </c>
      <c r="F19" s="41">
        <v>8</v>
      </c>
      <c r="G19" s="41" t="s">
        <v>103</v>
      </c>
      <c r="H19" s="41" t="s">
        <v>94</v>
      </c>
      <c r="I19" s="41">
        <v>32</v>
      </c>
    </row>
    <row r="20" spans="2:9" ht="11.25">
      <c r="B20" s="51" t="s">
        <v>253</v>
      </c>
      <c r="C20" s="51">
        <v>16</v>
      </c>
      <c r="D20" s="75" t="s">
        <v>187</v>
      </c>
      <c r="E20" s="51" t="s">
        <v>117</v>
      </c>
      <c r="F20" s="51">
        <v>11</v>
      </c>
      <c r="G20" s="51" t="s">
        <v>166</v>
      </c>
      <c r="H20" s="51" t="s">
        <v>166</v>
      </c>
      <c r="I20" s="51">
        <v>35</v>
      </c>
    </row>
    <row r="24" ht="12.75">
      <c r="B24" s="76" t="s">
        <v>259</v>
      </c>
    </row>
  </sheetData>
  <sheetProtection/>
  <hyperlinks>
    <hyperlink ref="B24" r:id="rId1" display="http://www.larchmontyc.org/racing/2004-Labor-Day-Results-1.htm"/>
  </hyperlinks>
  <printOptions/>
  <pageMargins left="0.75" right="0.75" top="1" bottom="1" header="0.5" footer="0.5"/>
  <pageSetup horizontalDpi="600" verticalDpi="600" orientation="portrait" r:id="rId2"/>
</worksheet>
</file>

<file path=xl/worksheets/sheet25.xml><?xml version="1.0" encoding="utf-8"?>
<worksheet xmlns="http://schemas.openxmlformats.org/spreadsheetml/2006/main" xmlns:r="http://schemas.openxmlformats.org/officeDocument/2006/relationships">
  <sheetPr codeName="Sheet24"/>
  <dimension ref="B2:H16"/>
  <sheetViews>
    <sheetView zoomScalePageLayoutView="0" workbookViewId="0" topLeftCell="A1">
      <selection activeCell="A1" sqref="A1"/>
    </sheetView>
  </sheetViews>
  <sheetFormatPr defaultColWidth="9.140625" defaultRowHeight="12.75"/>
  <cols>
    <col min="1" max="3" width="9.140625" style="28" customWidth="1"/>
    <col min="4" max="4" width="24.00390625" style="28" bestFit="1" customWidth="1"/>
    <col min="5" max="5" width="8.8515625" style="25" bestFit="1" customWidth="1"/>
    <col min="6" max="8" width="7.140625" style="28" customWidth="1"/>
    <col min="9" max="16384" width="9.140625" style="28" customWidth="1"/>
  </cols>
  <sheetData>
    <row r="2" spans="2:3" ht="15.75">
      <c r="B2" s="22" t="s">
        <v>278</v>
      </c>
      <c r="C2" s="3"/>
    </row>
    <row r="3" spans="2:3" ht="12.75">
      <c r="B3" s="71" t="s">
        <v>257</v>
      </c>
      <c r="C3" s="3"/>
    </row>
    <row r="4" ht="11.25">
      <c r="B4" s="55" t="s">
        <v>465</v>
      </c>
    </row>
    <row r="5" ht="11.25">
      <c r="B5" s="55" t="s">
        <v>289</v>
      </c>
    </row>
    <row r="7" spans="2:8" ht="11.25">
      <c r="B7" s="73" t="s">
        <v>466</v>
      </c>
      <c r="C7" s="73"/>
      <c r="D7" s="73"/>
      <c r="E7" s="100"/>
      <c r="F7" s="73"/>
      <c r="G7" s="73"/>
      <c r="H7" s="73"/>
    </row>
    <row r="8" spans="2:8" ht="11.25">
      <c r="B8" s="73"/>
      <c r="C8" s="73"/>
      <c r="D8" s="73"/>
      <c r="E8" s="100"/>
      <c r="F8" s="73"/>
      <c r="G8" s="73"/>
      <c r="H8" s="73"/>
    </row>
    <row r="9" spans="2:8" ht="11.25">
      <c r="B9" s="85"/>
      <c r="C9" s="85" t="s">
        <v>256</v>
      </c>
      <c r="D9" s="85" t="s">
        <v>158</v>
      </c>
      <c r="E9" s="85" t="s">
        <v>261</v>
      </c>
      <c r="F9" s="85" t="s">
        <v>95</v>
      </c>
      <c r="G9" s="85" t="s">
        <v>96</v>
      </c>
      <c r="H9" s="85" t="s">
        <v>98</v>
      </c>
    </row>
    <row r="10" spans="2:8" ht="11.25">
      <c r="B10" s="39" t="s">
        <v>240</v>
      </c>
      <c r="C10" s="39">
        <v>239</v>
      </c>
      <c r="D10" s="99" t="s">
        <v>464</v>
      </c>
      <c r="E10" s="39" t="s">
        <v>400</v>
      </c>
      <c r="F10" s="39">
        <v>1</v>
      </c>
      <c r="G10" s="39">
        <v>1</v>
      </c>
      <c r="H10" s="39">
        <f>F10+G10</f>
        <v>2</v>
      </c>
    </row>
    <row r="11" spans="2:8" ht="11.25">
      <c r="B11" s="41" t="s">
        <v>242</v>
      </c>
      <c r="C11" s="41">
        <v>182</v>
      </c>
      <c r="D11" s="74" t="s">
        <v>164</v>
      </c>
      <c r="E11" s="41" t="s">
        <v>117</v>
      </c>
      <c r="F11" s="41">
        <v>3</v>
      </c>
      <c r="G11" s="41">
        <v>2</v>
      </c>
      <c r="H11" s="41">
        <f>F11+G11</f>
        <v>5</v>
      </c>
    </row>
    <row r="12" spans="2:8" ht="11.25">
      <c r="B12" s="41" t="s">
        <v>243</v>
      </c>
      <c r="C12" s="41">
        <v>231</v>
      </c>
      <c r="D12" s="74" t="s">
        <v>224</v>
      </c>
      <c r="E12" s="41" t="s">
        <v>117</v>
      </c>
      <c r="F12" s="41">
        <v>2</v>
      </c>
      <c r="G12" s="41">
        <v>4</v>
      </c>
      <c r="H12" s="41">
        <f>F12+G12</f>
        <v>6</v>
      </c>
    </row>
    <row r="13" spans="2:8" ht="11.25">
      <c r="B13" s="41" t="s">
        <v>245</v>
      </c>
      <c r="C13" s="41">
        <v>41</v>
      </c>
      <c r="D13" s="74" t="s">
        <v>222</v>
      </c>
      <c r="E13" s="41" t="s">
        <v>117</v>
      </c>
      <c r="F13" s="41">
        <v>4</v>
      </c>
      <c r="G13" s="41">
        <v>3</v>
      </c>
      <c r="H13" s="41">
        <f>F13+G13</f>
        <v>7</v>
      </c>
    </row>
    <row r="14" spans="2:8" ht="11.25">
      <c r="B14" s="41" t="s">
        <v>247</v>
      </c>
      <c r="C14" s="41">
        <v>197</v>
      </c>
      <c r="D14" s="74" t="s">
        <v>215</v>
      </c>
      <c r="E14" s="41" t="s">
        <v>117</v>
      </c>
      <c r="F14" s="41">
        <v>6</v>
      </c>
      <c r="G14" s="41">
        <v>5</v>
      </c>
      <c r="H14" s="41">
        <f>F14+G14</f>
        <v>11</v>
      </c>
    </row>
    <row r="15" spans="2:8" ht="11.25">
      <c r="B15" s="51" t="s">
        <v>248</v>
      </c>
      <c r="C15" s="51">
        <v>38</v>
      </c>
      <c r="D15" s="61" t="s">
        <v>208</v>
      </c>
      <c r="E15" s="233" t="s">
        <v>117</v>
      </c>
      <c r="F15" s="51">
        <v>5</v>
      </c>
      <c r="G15" s="51" t="s">
        <v>103</v>
      </c>
      <c r="H15" s="51">
        <f>F15+8</f>
        <v>13</v>
      </c>
    </row>
    <row r="16" spans="2:8" ht="12" customHeight="1">
      <c r="B16" s="67"/>
      <c r="C16" s="67"/>
      <c r="D16" s="67"/>
      <c r="E16" s="67"/>
      <c r="F16" s="67"/>
      <c r="G16" s="67"/>
      <c r="H16" s="67"/>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2">
    <pageSetUpPr fitToPage="1"/>
  </sheetPr>
  <dimension ref="B2:K32"/>
  <sheetViews>
    <sheetView zoomScalePageLayoutView="0" workbookViewId="0" topLeftCell="A1">
      <selection activeCell="A2" sqref="A1:IV16384"/>
    </sheetView>
  </sheetViews>
  <sheetFormatPr defaultColWidth="9.140625" defaultRowHeight="12.75"/>
  <cols>
    <col min="1" max="3" width="9.140625" style="28" customWidth="1"/>
    <col min="4" max="4" width="21.140625" style="28" customWidth="1"/>
    <col min="5" max="5" width="8.57421875" style="25" bestFit="1" customWidth="1"/>
    <col min="6" max="11" width="7.140625" style="28" customWidth="1"/>
    <col min="12" max="16384" width="9.140625" style="28" customWidth="1"/>
  </cols>
  <sheetData>
    <row r="2" spans="2:3" ht="15.75">
      <c r="B2" s="22" t="s">
        <v>278</v>
      </c>
      <c r="C2" s="3"/>
    </row>
    <row r="3" spans="2:3" ht="12.75">
      <c r="B3" s="71" t="s">
        <v>257</v>
      </c>
      <c r="C3" s="3"/>
    </row>
    <row r="4" ht="11.25">
      <c r="B4" s="55" t="s">
        <v>279</v>
      </c>
    </row>
    <row r="5" ht="11.25">
      <c r="B5" s="55" t="s">
        <v>289</v>
      </c>
    </row>
    <row r="7" spans="2:11" ht="11.25">
      <c r="B7" s="73" t="s">
        <v>290</v>
      </c>
      <c r="C7" s="73"/>
      <c r="D7" s="73"/>
      <c r="E7" s="100"/>
      <c r="F7" s="73"/>
      <c r="G7" s="73"/>
      <c r="H7" s="73"/>
      <c r="I7" s="73"/>
      <c r="J7" s="73"/>
      <c r="K7" s="73"/>
    </row>
    <row r="8" spans="2:11" ht="11.25">
      <c r="B8" s="73"/>
      <c r="C8" s="73"/>
      <c r="D8" s="73"/>
      <c r="E8" s="100"/>
      <c r="F8" s="73"/>
      <c r="G8" s="73"/>
      <c r="H8" s="73"/>
      <c r="I8" s="73"/>
      <c r="J8" s="73"/>
      <c r="K8" s="73"/>
    </row>
    <row r="9" spans="2:11" ht="11.25">
      <c r="B9" s="85"/>
      <c r="C9" s="85" t="s">
        <v>256</v>
      </c>
      <c r="D9" s="85" t="s">
        <v>158</v>
      </c>
      <c r="E9" s="85" t="s">
        <v>261</v>
      </c>
      <c r="F9" s="85" t="s">
        <v>95</v>
      </c>
      <c r="G9" s="85" t="s">
        <v>96</v>
      </c>
      <c r="H9" s="85" t="s">
        <v>97</v>
      </c>
      <c r="I9" s="85" t="s">
        <v>106</v>
      </c>
      <c r="J9" s="85" t="s">
        <v>160</v>
      </c>
      <c r="K9" s="85" t="s">
        <v>98</v>
      </c>
    </row>
    <row r="10" spans="2:11" ht="11.25">
      <c r="B10" s="39" t="s">
        <v>240</v>
      </c>
      <c r="C10" s="41">
        <v>231</v>
      </c>
      <c r="D10" s="99" t="s">
        <v>224</v>
      </c>
      <c r="E10" s="41" t="s">
        <v>117</v>
      </c>
      <c r="F10" s="41">
        <v>6</v>
      </c>
      <c r="G10" s="41">
        <v>2</v>
      </c>
      <c r="H10" s="41">
        <v>2</v>
      </c>
      <c r="I10" s="41">
        <v>1</v>
      </c>
      <c r="J10" s="41">
        <v>1</v>
      </c>
      <c r="K10" s="39">
        <v>6</v>
      </c>
    </row>
    <row r="11" spans="2:11" ht="11.25">
      <c r="B11" s="41" t="s">
        <v>242</v>
      </c>
      <c r="C11" s="41">
        <v>106</v>
      </c>
      <c r="D11" s="74" t="s">
        <v>220</v>
      </c>
      <c r="E11" s="41" t="s">
        <v>117</v>
      </c>
      <c r="F11" s="41">
        <v>1</v>
      </c>
      <c r="G11" s="41">
        <v>7</v>
      </c>
      <c r="H11" s="41">
        <v>3</v>
      </c>
      <c r="I11" s="41">
        <v>2</v>
      </c>
      <c r="J11" s="41">
        <v>5</v>
      </c>
      <c r="K11" s="41">
        <v>11</v>
      </c>
    </row>
    <row r="12" spans="2:11" ht="11.25">
      <c r="B12" s="41" t="s">
        <v>243</v>
      </c>
      <c r="C12" s="41">
        <v>25</v>
      </c>
      <c r="D12" s="74" t="s">
        <v>162</v>
      </c>
      <c r="E12" s="41" t="s">
        <v>117</v>
      </c>
      <c r="F12" s="41">
        <v>4</v>
      </c>
      <c r="G12" s="41">
        <v>3</v>
      </c>
      <c r="H12" s="41">
        <v>7</v>
      </c>
      <c r="I12" s="41">
        <v>5</v>
      </c>
      <c r="J12" s="41">
        <v>3</v>
      </c>
      <c r="K12" s="41">
        <v>15</v>
      </c>
    </row>
    <row r="13" spans="2:11" ht="11.25">
      <c r="B13" s="41" t="s">
        <v>245</v>
      </c>
      <c r="C13" s="41">
        <v>26</v>
      </c>
      <c r="D13" s="74" t="s">
        <v>288</v>
      </c>
      <c r="E13" s="41" t="s">
        <v>117</v>
      </c>
      <c r="F13" s="41">
        <v>10</v>
      </c>
      <c r="G13" s="41">
        <v>6</v>
      </c>
      <c r="H13" s="41">
        <v>1</v>
      </c>
      <c r="I13" s="41">
        <v>6</v>
      </c>
      <c r="J13" s="41">
        <v>4</v>
      </c>
      <c r="K13" s="41">
        <v>17</v>
      </c>
    </row>
    <row r="14" spans="2:11" ht="11.25">
      <c r="B14" s="41" t="s">
        <v>247</v>
      </c>
      <c r="C14" s="41">
        <v>49</v>
      </c>
      <c r="D14" s="103" t="s">
        <v>291</v>
      </c>
      <c r="E14" s="41" t="s">
        <v>117</v>
      </c>
      <c r="F14" s="41">
        <v>3</v>
      </c>
      <c r="G14" s="41">
        <v>5</v>
      </c>
      <c r="H14" s="41">
        <v>6</v>
      </c>
      <c r="I14" s="41">
        <v>3</v>
      </c>
      <c r="J14" s="41">
        <v>8</v>
      </c>
      <c r="K14" s="41">
        <v>17</v>
      </c>
    </row>
    <row r="15" spans="2:11" ht="11.25">
      <c r="B15" s="41" t="s">
        <v>248</v>
      </c>
      <c r="C15" s="41">
        <v>229</v>
      </c>
      <c r="D15" s="74" t="s">
        <v>285</v>
      </c>
      <c r="E15" s="25" t="s">
        <v>280</v>
      </c>
      <c r="F15" s="41">
        <v>6</v>
      </c>
      <c r="G15" s="41">
        <v>4</v>
      </c>
      <c r="H15" s="41">
        <v>5</v>
      </c>
      <c r="I15" s="41">
        <v>4</v>
      </c>
      <c r="J15" s="41">
        <v>9</v>
      </c>
      <c r="K15" s="41">
        <v>19</v>
      </c>
    </row>
    <row r="16" spans="2:11" ht="11.25">
      <c r="B16" s="41" t="s">
        <v>249</v>
      </c>
      <c r="C16" s="41">
        <v>54</v>
      </c>
      <c r="D16" s="74" t="s">
        <v>287</v>
      </c>
      <c r="E16" s="41" t="s">
        <v>117</v>
      </c>
      <c r="F16" s="41">
        <v>5</v>
      </c>
      <c r="G16" s="41">
        <v>1</v>
      </c>
      <c r="H16" s="41">
        <v>4</v>
      </c>
      <c r="I16" s="41">
        <v>14</v>
      </c>
      <c r="J16" s="41">
        <v>10</v>
      </c>
      <c r="K16" s="41">
        <v>20</v>
      </c>
    </row>
    <row r="17" spans="2:11" ht="11.25">
      <c r="B17" s="41" t="s">
        <v>250</v>
      </c>
      <c r="C17" s="41">
        <v>38</v>
      </c>
      <c r="D17" s="32" t="s">
        <v>286</v>
      </c>
      <c r="E17" s="41" t="s">
        <v>117</v>
      </c>
      <c r="F17" s="41">
        <v>8</v>
      </c>
      <c r="G17" s="41">
        <v>10</v>
      </c>
      <c r="H17" s="41">
        <v>10</v>
      </c>
      <c r="I17" s="41">
        <v>9</v>
      </c>
      <c r="J17" s="41">
        <v>6</v>
      </c>
      <c r="K17" s="41">
        <v>33</v>
      </c>
    </row>
    <row r="18" spans="2:11" ht="11.25">
      <c r="B18" s="41" t="s">
        <v>251</v>
      </c>
      <c r="C18" s="41">
        <v>142</v>
      </c>
      <c r="D18" s="74" t="s">
        <v>214</v>
      </c>
      <c r="E18" s="41" t="s">
        <v>117</v>
      </c>
      <c r="F18" s="41">
        <v>11</v>
      </c>
      <c r="G18" s="41">
        <v>9</v>
      </c>
      <c r="H18" s="41">
        <v>11</v>
      </c>
      <c r="I18" s="41">
        <v>7</v>
      </c>
      <c r="J18" s="41">
        <v>7</v>
      </c>
      <c r="K18" s="41">
        <v>34</v>
      </c>
    </row>
    <row r="19" spans="2:11" ht="11.25">
      <c r="B19" s="41" t="s">
        <v>252</v>
      </c>
      <c r="C19" s="41">
        <v>70</v>
      </c>
      <c r="D19" s="74" t="s">
        <v>282</v>
      </c>
      <c r="E19" s="41" t="s">
        <v>117</v>
      </c>
      <c r="F19" s="41">
        <v>2</v>
      </c>
      <c r="G19" s="41">
        <v>12</v>
      </c>
      <c r="H19" s="41">
        <v>8</v>
      </c>
      <c r="I19" s="41">
        <v>16</v>
      </c>
      <c r="J19" s="41">
        <v>15</v>
      </c>
      <c r="K19" s="41">
        <v>37</v>
      </c>
    </row>
    <row r="20" spans="2:11" ht="11.25">
      <c r="B20" s="41" t="s">
        <v>253</v>
      </c>
      <c r="C20" s="41">
        <v>176</v>
      </c>
      <c r="D20" s="74" t="s">
        <v>281</v>
      </c>
      <c r="E20" s="41" t="s">
        <v>117</v>
      </c>
      <c r="F20" s="41">
        <v>9</v>
      </c>
      <c r="G20" s="41">
        <v>8</v>
      </c>
      <c r="H20" s="41">
        <v>9</v>
      </c>
      <c r="I20" s="41">
        <v>11</v>
      </c>
      <c r="J20" s="41">
        <v>11</v>
      </c>
      <c r="K20" s="41">
        <v>37</v>
      </c>
    </row>
    <row r="21" spans="2:11" ht="11.25">
      <c r="B21" s="41" t="s">
        <v>274</v>
      </c>
      <c r="C21" s="41">
        <v>16</v>
      </c>
      <c r="D21" s="74" t="s">
        <v>221</v>
      </c>
      <c r="E21" s="41" t="s">
        <v>117</v>
      </c>
      <c r="F21" s="41">
        <v>14</v>
      </c>
      <c r="G21" s="41">
        <v>14</v>
      </c>
      <c r="H21" s="41">
        <v>12</v>
      </c>
      <c r="I21" s="41">
        <v>8</v>
      </c>
      <c r="J21" s="41">
        <v>13</v>
      </c>
      <c r="K21" s="41">
        <v>47</v>
      </c>
    </row>
    <row r="22" spans="2:11" ht="11.25">
      <c r="B22" s="41" t="s">
        <v>275</v>
      </c>
      <c r="C22" s="41">
        <v>117</v>
      </c>
      <c r="D22" s="103" t="s">
        <v>291</v>
      </c>
      <c r="E22" s="41" t="s">
        <v>117</v>
      </c>
      <c r="F22" s="41">
        <v>13</v>
      </c>
      <c r="G22" s="41">
        <v>11</v>
      </c>
      <c r="H22" s="41">
        <v>14</v>
      </c>
      <c r="I22" s="41">
        <v>10</v>
      </c>
      <c r="J22" s="41">
        <v>16</v>
      </c>
      <c r="K22" s="41">
        <v>48</v>
      </c>
    </row>
    <row r="23" spans="2:11" ht="11.25">
      <c r="B23" s="41" t="s">
        <v>276</v>
      </c>
      <c r="C23" s="41">
        <v>182</v>
      </c>
      <c r="D23" s="74" t="s">
        <v>164</v>
      </c>
      <c r="E23" s="41" t="s">
        <v>117</v>
      </c>
      <c r="F23" s="41" t="s">
        <v>166</v>
      </c>
      <c r="G23" s="41" t="s">
        <v>166</v>
      </c>
      <c r="H23" s="41" t="s">
        <v>166</v>
      </c>
      <c r="I23" s="41">
        <v>12</v>
      </c>
      <c r="J23" s="41">
        <v>2</v>
      </c>
      <c r="K23" s="41">
        <v>50</v>
      </c>
    </row>
    <row r="24" spans="2:11" ht="11.25">
      <c r="B24" s="41" t="s">
        <v>277</v>
      </c>
      <c r="C24" s="41">
        <v>197</v>
      </c>
      <c r="D24" s="74" t="s">
        <v>215</v>
      </c>
      <c r="E24" s="41" t="s">
        <v>117</v>
      </c>
      <c r="F24" s="41">
        <v>12</v>
      </c>
      <c r="G24" s="41">
        <v>13</v>
      </c>
      <c r="H24" s="41">
        <v>13</v>
      </c>
      <c r="I24" s="41">
        <v>13</v>
      </c>
      <c r="J24" s="41">
        <v>12</v>
      </c>
      <c r="K24" s="41">
        <v>50</v>
      </c>
    </row>
    <row r="25" spans="2:11" ht="11.25">
      <c r="B25" s="41" t="s">
        <v>283</v>
      </c>
      <c r="C25" s="41">
        <v>41</v>
      </c>
      <c r="D25" s="74" t="s">
        <v>222</v>
      </c>
      <c r="E25" s="41" t="s">
        <v>117</v>
      </c>
      <c r="F25" s="41" t="s">
        <v>166</v>
      </c>
      <c r="G25" s="41" t="s">
        <v>166</v>
      </c>
      <c r="H25" s="41" t="s">
        <v>166</v>
      </c>
      <c r="I25" s="41">
        <v>15</v>
      </c>
      <c r="J25" s="41">
        <v>14</v>
      </c>
      <c r="K25" s="41">
        <v>65</v>
      </c>
    </row>
    <row r="26" spans="2:11" ht="11.25">
      <c r="B26" s="51" t="s">
        <v>284</v>
      </c>
      <c r="C26" s="51">
        <v>5</v>
      </c>
      <c r="D26" s="104" t="s">
        <v>291</v>
      </c>
      <c r="E26" s="51" t="s">
        <v>117</v>
      </c>
      <c r="F26" s="51">
        <v>15</v>
      </c>
      <c r="G26" s="51">
        <v>15</v>
      </c>
      <c r="H26" s="51" t="s">
        <v>103</v>
      </c>
      <c r="I26" s="51" t="s">
        <v>166</v>
      </c>
      <c r="J26" s="51" t="s">
        <v>166</v>
      </c>
      <c r="K26" s="51">
        <v>66</v>
      </c>
    </row>
    <row r="27" spans="2:11" ht="11.25">
      <c r="B27" s="67"/>
      <c r="C27" s="67"/>
      <c r="D27" s="67"/>
      <c r="E27" s="67"/>
      <c r="F27" s="67"/>
      <c r="G27" s="67"/>
      <c r="H27" s="67"/>
      <c r="I27" s="67"/>
      <c r="J27" s="67"/>
      <c r="K27" s="67"/>
    </row>
    <row r="28" spans="2:11" ht="11.25">
      <c r="B28" s="102" t="s">
        <v>293</v>
      </c>
      <c r="C28" s="67"/>
      <c r="D28" s="67"/>
      <c r="E28" s="67"/>
      <c r="F28" s="67"/>
      <c r="G28" s="67"/>
      <c r="H28" s="67"/>
      <c r="I28" s="67"/>
      <c r="J28" s="67"/>
      <c r="K28" s="67"/>
    </row>
    <row r="29" spans="2:11" ht="11.25">
      <c r="B29" s="67"/>
      <c r="C29" s="67"/>
      <c r="D29" s="67"/>
      <c r="E29" s="67"/>
      <c r="F29" s="67"/>
      <c r="G29" s="67"/>
      <c r="H29" s="67"/>
      <c r="I29" s="67"/>
      <c r="J29" s="67"/>
      <c r="K29" s="67"/>
    </row>
    <row r="30" ht="12.75">
      <c r="B30" s="76" t="s">
        <v>294</v>
      </c>
    </row>
    <row r="32" ht="12.75">
      <c r="B32" s="76" t="s">
        <v>292</v>
      </c>
    </row>
  </sheetData>
  <sheetProtection/>
  <hyperlinks>
    <hyperlink ref="B30" r:id="rId1" display="http://www.larchmontyc.org/racing/2004-Columbus-Day-results2.htm"/>
    <hyperlink ref="B32" r:id="rId2" display="http://www.starclass.org/search.cgi?Action=view&amp;Event_id=388"/>
  </hyperlinks>
  <printOptions horizontalCentered="1" verticalCentered="1"/>
  <pageMargins left="0.75" right="0.75" top="1" bottom="1" header="0.5" footer="0.5"/>
  <pageSetup fitToHeight="1" fitToWidth="1" horizontalDpi="600" verticalDpi="600" orientation="landscape" r:id="rId3"/>
</worksheet>
</file>

<file path=xl/worksheets/sheet27.xml><?xml version="1.0" encoding="utf-8"?>
<worksheet xmlns="http://schemas.openxmlformats.org/spreadsheetml/2006/main" xmlns:r="http://schemas.openxmlformats.org/officeDocument/2006/relationships">
  <sheetPr codeName="Sheet13"/>
  <dimension ref="A1:Y292"/>
  <sheetViews>
    <sheetView showGridLines="0" zoomScalePageLayoutView="0" workbookViewId="0" topLeftCell="A9">
      <selection activeCell="A2" sqref="A1:IV16384"/>
    </sheetView>
  </sheetViews>
  <sheetFormatPr defaultColWidth="9.140625" defaultRowHeight="12.75"/>
  <cols>
    <col min="1" max="1" width="5.28125" style="161" customWidth="1"/>
    <col min="2" max="22" width="4.421875" style="161" customWidth="1"/>
    <col min="23" max="23" width="4.7109375" style="161" customWidth="1"/>
    <col min="24" max="16384" width="9.140625" style="161" customWidth="1"/>
  </cols>
  <sheetData>
    <row r="1" ht="12.75">
      <c r="A1" s="172" t="s">
        <v>461</v>
      </c>
    </row>
    <row r="2" ht="11.25">
      <c r="A2" s="162"/>
    </row>
    <row r="3" ht="11.25">
      <c r="A3" s="162" t="s">
        <v>8</v>
      </c>
    </row>
    <row r="4" ht="11.25">
      <c r="A4" s="162" t="s">
        <v>462</v>
      </c>
    </row>
    <row r="5" ht="11.25">
      <c r="A5" s="162" t="s">
        <v>9</v>
      </c>
    </row>
    <row r="6" ht="11.25">
      <c r="A6" s="162" t="s">
        <v>10</v>
      </c>
    </row>
    <row r="7" ht="11.25">
      <c r="A7" s="162"/>
    </row>
    <row r="8" ht="12.75">
      <c r="A8" s="171" t="s">
        <v>460</v>
      </c>
    </row>
    <row r="9" ht="11.25">
      <c r="A9" s="163"/>
    </row>
    <row r="10" ht="11.25">
      <c r="A10" s="162" t="s">
        <v>11</v>
      </c>
    </row>
    <row r="11" ht="11.25">
      <c r="A11" s="162"/>
    </row>
    <row r="12" ht="11.25">
      <c r="A12" s="162" t="s">
        <v>12</v>
      </c>
    </row>
    <row r="13" ht="11.25">
      <c r="A13" s="162" t="s">
        <v>13</v>
      </c>
    </row>
    <row r="14" ht="11.25">
      <c r="A14" s="162" t="s">
        <v>14</v>
      </c>
    </row>
    <row r="15" ht="11.25">
      <c r="A15" s="162" t="s">
        <v>15</v>
      </c>
    </row>
    <row r="16" ht="11.25">
      <c r="A16" s="162" t="s">
        <v>16</v>
      </c>
    </row>
    <row r="18" spans="1:21" ht="11.25">
      <c r="A18" s="164"/>
      <c r="B18" s="164">
        <v>1</v>
      </c>
      <c r="C18" s="164">
        <v>2</v>
      </c>
      <c r="D18" s="164">
        <v>3</v>
      </c>
      <c r="E18" s="164">
        <v>4</v>
      </c>
      <c r="F18" s="164">
        <v>5</v>
      </c>
      <c r="G18" s="164">
        <v>6</v>
      </c>
      <c r="H18" s="164">
        <v>7</v>
      </c>
      <c r="I18" s="164">
        <v>8</v>
      </c>
      <c r="J18" s="164">
        <v>9</v>
      </c>
      <c r="K18" s="164">
        <v>10</v>
      </c>
      <c r="L18" s="164">
        <v>11</v>
      </c>
      <c r="M18" s="164">
        <v>12</v>
      </c>
      <c r="N18" s="164">
        <v>13</v>
      </c>
      <c r="O18" s="164">
        <v>14</v>
      </c>
      <c r="P18" s="164">
        <v>15</v>
      </c>
      <c r="Q18" s="164">
        <v>16</v>
      </c>
      <c r="R18" s="164">
        <v>17</v>
      </c>
      <c r="S18" s="164">
        <v>18</v>
      </c>
      <c r="T18" s="164">
        <v>19</v>
      </c>
      <c r="U18" s="164" t="s">
        <v>17</v>
      </c>
    </row>
    <row r="19" spans="1:22" ht="11.25">
      <c r="A19" s="165">
        <v>1</v>
      </c>
      <c r="B19" s="161">
        <v>0</v>
      </c>
      <c r="C19" s="161">
        <v>10</v>
      </c>
      <c r="D19" s="161">
        <v>31</v>
      </c>
      <c r="E19" s="161">
        <v>43</v>
      </c>
      <c r="F19" s="161">
        <v>52</v>
      </c>
      <c r="G19" s="161">
        <v>60</v>
      </c>
      <c r="H19" s="161">
        <v>66</v>
      </c>
      <c r="I19" s="161">
        <v>72</v>
      </c>
      <c r="J19" s="161">
        <v>76</v>
      </c>
      <c r="K19" s="161">
        <v>80</v>
      </c>
      <c r="L19" s="161">
        <v>84</v>
      </c>
      <c r="M19" s="161">
        <v>87</v>
      </c>
      <c r="N19" s="161">
        <v>90</v>
      </c>
      <c r="O19" s="161">
        <v>92</v>
      </c>
      <c r="P19" s="161">
        <v>94</v>
      </c>
      <c r="Q19" s="161">
        <v>96</v>
      </c>
      <c r="R19" s="161">
        <v>97</v>
      </c>
      <c r="S19" s="161">
        <v>98</v>
      </c>
      <c r="T19" s="161">
        <v>99</v>
      </c>
      <c r="U19" s="161">
        <v>100</v>
      </c>
      <c r="V19" s="165">
        <v>1</v>
      </c>
    </row>
    <row r="20" spans="1:22" ht="11.25">
      <c r="A20" s="165">
        <v>2</v>
      </c>
      <c r="C20" s="161">
        <v>7</v>
      </c>
      <c r="D20" s="161">
        <v>25</v>
      </c>
      <c r="E20" s="161">
        <v>37</v>
      </c>
      <c r="F20" s="161">
        <v>46</v>
      </c>
      <c r="G20" s="161">
        <v>54</v>
      </c>
      <c r="H20" s="161">
        <v>60</v>
      </c>
      <c r="I20" s="161">
        <v>66</v>
      </c>
      <c r="J20" s="161">
        <v>70</v>
      </c>
      <c r="K20" s="161">
        <v>74</v>
      </c>
      <c r="L20" s="161">
        <v>78</v>
      </c>
      <c r="M20" s="161">
        <v>81</v>
      </c>
      <c r="N20" s="161">
        <v>84</v>
      </c>
      <c r="O20" s="161">
        <v>86</v>
      </c>
      <c r="P20" s="161">
        <v>88</v>
      </c>
      <c r="Q20" s="161">
        <v>90</v>
      </c>
      <c r="R20" s="161">
        <v>91</v>
      </c>
      <c r="S20" s="161">
        <v>92</v>
      </c>
      <c r="T20" s="161">
        <v>93</v>
      </c>
      <c r="U20" s="161">
        <v>94</v>
      </c>
      <c r="V20" s="165">
        <v>2</v>
      </c>
    </row>
    <row r="21" spans="1:22" ht="11.25">
      <c r="A21" s="165">
        <v>3</v>
      </c>
      <c r="D21" s="161">
        <v>21</v>
      </c>
      <c r="E21" s="161">
        <v>33</v>
      </c>
      <c r="F21" s="161">
        <v>42</v>
      </c>
      <c r="G21" s="161">
        <v>50</v>
      </c>
      <c r="H21" s="161">
        <v>56</v>
      </c>
      <c r="I21" s="161">
        <v>62</v>
      </c>
      <c r="J21" s="161">
        <v>66</v>
      </c>
      <c r="K21" s="161">
        <v>70</v>
      </c>
      <c r="L21" s="161">
        <v>74</v>
      </c>
      <c r="M21" s="161">
        <v>77</v>
      </c>
      <c r="N21" s="161">
        <v>80</v>
      </c>
      <c r="O21" s="161">
        <v>82</v>
      </c>
      <c r="P21" s="161">
        <v>84</v>
      </c>
      <c r="Q21" s="161">
        <v>86</v>
      </c>
      <c r="R21" s="161">
        <v>87</v>
      </c>
      <c r="S21" s="161">
        <v>88</v>
      </c>
      <c r="T21" s="161">
        <v>89</v>
      </c>
      <c r="U21" s="161">
        <v>90</v>
      </c>
      <c r="V21" s="165">
        <v>3</v>
      </c>
    </row>
    <row r="22" spans="1:22" ht="11.25">
      <c r="A22" s="165">
        <v>4</v>
      </c>
      <c r="E22" s="161">
        <v>29</v>
      </c>
      <c r="F22" s="161">
        <v>38</v>
      </c>
      <c r="G22" s="161">
        <v>46</v>
      </c>
      <c r="H22" s="161">
        <v>52</v>
      </c>
      <c r="I22" s="161">
        <v>58</v>
      </c>
      <c r="J22" s="161">
        <v>62</v>
      </c>
      <c r="K22" s="161">
        <v>68</v>
      </c>
      <c r="L22" s="161">
        <v>70</v>
      </c>
      <c r="M22" s="161">
        <v>73</v>
      </c>
      <c r="N22" s="161">
        <v>76</v>
      </c>
      <c r="O22" s="161">
        <v>78</v>
      </c>
      <c r="P22" s="161">
        <v>80</v>
      </c>
      <c r="Q22" s="161">
        <v>82</v>
      </c>
      <c r="R22" s="161">
        <v>83</v>
      </c>
      <c r="S22" s="161">
        <v>84</v>
      </c>
      <c r="T22" s="161">
        <v>85</v>
      </c>
      <c r="U22" s="161">
        <v>86</v>
      </c>
      <c r="V22" s="165">
        <v>4</v>
      </c>
    </row>
    <row r="23" spans="1:22" ht="11.25">
      <c r="A23" s="165">
        <v>5</v>
      </c>
      <c r="F23" s="161">
        <v>35</v>
      </c>
      <c r="G23" s="161">
        <v>43</v>
      </c>
      <c r="H23" s="161">
        <v>49</v>
      </c>
      <c r="I23" s="161">
        <v>55</v>
      </c>
      <c r="J23" s="161">
        <v>59</v>
      </c>
      <c r="K23" s="161">
        <v>63</v>
      </c>
      <c r="L23" s="161">
        <v>67</v>
      </c>
      <c r="M23" s="161">
        <v>70</v>
      </c>
      <c r="N23" s="161">
        <v>73</v>
      </c>
      <c r="O23" s="161">
        <v>75</v>
      </c>
      <c r="P23" s="161">
        <v>77</v>
      </c>
      <c r="Q23" s="161">
        <v>79</v>
      </c>
      <c r="R23" s="161">
        <v>80</v>
      </c>
      <c r="S23" s="161">
        <v>81</v>
      </c>
      <c r="T23" s="161">
        <v>82</v>
      </c>
      <c r="U23" s="161">
        <v>83</v>
      </c>
      <c r="V23" s="165">
        <v>5</v>
      </c>
    </row>
    <row r="24" spans="1:22" ht="11.25">
      <c r="A24" s="165">
        <v>6</v>
      </c>
      <c r="G24" s="161">
        <v>40</v>
      </c>
      <c r="H24" s="161">
        <v>46</v>
      </c>
      <c r="I24" s="161">
        <v>52</v>
      </c>
      <c r="J24" s="161">
        <v>56</v>
      </c>
      <c r="K24" s="161">
        <v>60</v>
      </c>
      <c r="L24" s="161">
        <v>64</v>
      </c>
      <c r="M24" s="161">
        <v>67</v>
      </c>
      <c r="N24" s="161">
        <v>70</v>
      </c>
      <c r="O24" s="161">
        <v>72</v>
      </c>
      <c r="P24" s="161">
        <v>74</v>
      </c>
      <c r="Q24" s="161">
        <v>76</v>
      </c>
      <c r="R24" s="161">
        <v>77</v>
      </c>
      <c r="S24" s="161">
        <v>78</v>
      </c>
      <c r="T24" s="161">
        <v>79</v>
      </c>
      <c r="U24" s="161">
        <v>80</v>
      </c>
      <c r="V24" s="165">
        <v>6</v>
      </c>
    </row>
    <row r="25" spans="1:22" ht="11.25">
      <c r="A25" s="165">
        <v>7</v>
      </c>
      <c r="H25" s="161">
        <v>44</v>
      </c>
      <c r="I25" s="161">
        <v>50</v>
      </c>
      <c r="J25" s="161">
        <v>54</v>
      </c>
      <c r="K25" s="161">
        <v>58</v>
      </c>
      <c r="L25" s="161">
        <v>62</v>
      </c>
      <c r="M25" s="161">
        <v>65</v>
      </c>
      <c r="N25" s="161">
        <v>68</v>
      </c>
      <c r="O25" s="161">
        <v>70</v>
      </c>
      <c r="P25" s="161">
        <v>72</v>
      </c>
      <c r="Q25" s="161">
        <v>74</v>
      </c>
      <c r="R25" s="161">
        <v>75</v>
      </c>
      <c r="S25" s="161">
        <v>76</v>
      </c>
      <c r="T25" s="161">
        <v>77</v>
      </c>
      <c r="U25" s="161">
        <v>78</v>
      </c>
      <c r="V25" s="165">
        <v>7</v>
      </c>
    </row>
    <row r="26" spans="1:25" ht="11.25">
      <c r="A26" s="165">
        <v>8</v>
      </c>
      <c r="I26" s="161">
        <v>48</v>
      </c>
      <c r="J26" s="161">
        <v>52</v>
      </c>
      <c r="K26" s="161">
        <v>56</v>
      </c>
      <c r="L26" s="161">
        <v>60</v>
      </c>
      <c r="M26" s="161">
        <v>63</v>
      </c>
      <c r="N26" s="161">
        <v>66</v>
      </c>
      <c r="O26" s="161">
        <v>68</v>
      </c>
      <c r="P26" s="161">
        <v>70</v>
      </c>
      <c r="Q26" s="161">
        <v>72</v>
      </c>
      <c r="R26" s="161">
        <v>73</v>
      </c>
      <c r="S26" s="161">
        <v>74</v>
      </c>
      <c r="T26" s="161">
        <v>75</v>
      </c>
      <c r="U26" s="161">
        <v>76</v>
      </c>
      <c r="V26" s="165">
        <v>8</v>
      </c>
      <c r="Y26" s="161" t="s">
        <v>7</v>
      </c>
    </row>
    <row r="27" spans="1:22" ht="11.25">
      <c r="A27" s="165">
        <v>9</v>
      </c>
      <c r="J27" s="161">
        <v>50</v>
      </c>
      <c r="K27" s="161">
        <v>54</v>
      </c>
      <c r="L27" s="161">
        <v>58</v>
      </c>
      <c r="M27" s="161">
        <v>61</v>
      </c>
      <c r="N27" s="161">
        <v>64</v>
      </c>
      <c r="O27" s="161">
        <v>66</v>
      </c>
      <c r="P27" s="161">
        <v>68</v>
      </c>
      <c r="Q27" s="161">
        <v>70</v>
      </c>
      <c r="R27" s="161">
        <v>71</v>
      </c>
      <c r="S27" s="161">
        <v>72</v>
      </c>
      <c r="T27" s="161">
        <v>73</v>
      </c>
      <c r="U27" s="161">
        <v>74</v>
      </c>
      <c r="V27" s="165">
        <v>9</v>
      </c>
    </row>
    <row r="28" spans="1:22" ht="11.25">
      <c r="A28" s="165">
        <v>10</v>
      </c>
      <c r="K28" s="161">
        <v>52</v>
      </c>
      <c r="L28" s="161">
        <v>56</v>
      </c>
      <c r="M28" s="161">
        <v>59</v>
      </c>
      <c r="N28" s="161">
        <v>62</v>
      </c>
      <c r="O28" s="161">
        <v>64</v>
      </c>
      <c r="P28" s="161">
        <v>66</v>
      </c>
      <c r="Q28" s="161">
        <v>68</v>
      </c>
      <c r="R28" s="161">
        <v>69</v>
      </c>
      <c r="S28" s="161">
        <v>70</v>
      </c>
      <c r="T28" s="161">
        <v>71</v>
      </c>
      <c r="U28" s="161">
        <v>72</v>
      </c>
      <c r="V28" s="165">
        <v>10</v>
      </c>
    </row>
    <row r="29" spans="1:22" ht="11.25">
      <c r="A29" s="165">
        <v>11</v>
      </c>
      <c r="L29" s="161">
        <v>54</v>
      </c>
      <c r="M29" s="161">
        <v>57</v>
      </c>
      <c r="N29" s="161">
        <v>60</v>
      </c>
      <c r="O29" s="161">
        <v>62</v>
      </c>
      <c r="P29" s="161">
        <v>64</v>
      </c>
      <c r="Q29" s="161">
        <v>66</v>
      </c>
      <c r="R29" s="161">
        <v>67</v>
      </c>
      <c r="S29" s="161">
        <v>68</v>
      </c>
      <c r="T29" s="161">
        <v>69</v>
      </c>
      <c r="U29" s="161">
        <v>70</v>
      </c>
      <c r="V29" s="165">
        <v>11</v>
      </c>
    </row>
    <row r="30" spans="1:22" ht="11.25">
      <c r="A30" s="165">
        <v>12</v>
      </c>
      <c r="M30" s="161">
        <v>55</v>
      </c>
      <c r="N30" s="161">
        <v>58</v>
      </c>
      <c r="O30" s="161">
        <v>60</v>
      </c>
      <c r="P30" s="161">
        <v>62</v>
      </c>
      <c r="Q30" s="161">
        <v>64</v>
      </c>
      <c r="R30" s="161">
        <v>65</v>
      </c>
      <c r="S30" s="161">
        <v>66</v>
      </c>
      <c r="T30" s="161">
        <v>67</v>
      </c>
      <c r="U30" s="161">
        <v>68</v>
      </c>
      <c r="V30" s="165">
        <v>12</v>
      </c>
    </row>
    <row r="31" spans="1:22" ht="11.25">
      <c r="A31" s="165">
        <v>13</v>
      </c>
      <c r="N31" s="161">
        <v>56</v>
      </c>
      <c r="O31" s="161">
        <v>58</v>
      </c>
      <c r="P31" s="161">
        <v>60</v>
      </c>
      <c r="Q31" s="161">
        <v>62</v>
      </c>
      <c r="R31" s="161">
        <v>63</v>
      </c>
      <c r="S31" s="161">
        <v>64</v>
      </c>
      <c r="T31" s="161">
        <v>65</v>
      </c>
      <c r="U31" s="161">
        <v>66</v>
      </c>
      <c r="V31" s="165">
        <v>13</v>
      </c>
    </row>
    <row r="32" spans="1:22" ht="11.25">
      <c r="A32" s="165">
        <v>14</v>
      </c>
      <c r="O32" s="161">
        <v>57</v>
      </c>
      <c r="P32" s="161">
        <v>59</v>
      </c>
      <c r="Q32" s="161">
        <v>61</v>
      </c>
      <c r="R32" s="161">
        <v>62</v>
      </c>
      <c r="S32" s="161">
        <v>63</v>
      </c>
      <c r="T32" s="161">
        <v>64</v>
      </c>
      <c r="U32" s="161">
        <v>65</v>
      </c>
      <c r="V32" s="165">
        <v>14</v>
      </c>
    </row>
    <row r="33" spans="1:22" ht="11.25">
      <c r="A33" s="165">
        <v>15</v>
      </c>
      <c r="P33" s="161">
        <v>58</v>
      </c>
      <c r="Q33" s="161">
        <v>60</v>
      </c>
      <c r="R33" s="161">
        <v>61</v>
      </c>
      <c r="S33" s="161">
        <v>62</v>
      </c>
      <c r="T33" s="161">
        <v>63</v>
      </c>
      <c r="U33" s="161">
        <v>64</v>
      </c>
      <c r="V33" s="165">
        <v>15</v>
      </c>
    </row>
    <row r="34" spans="1:22" ht="11.25">
      <c r="A34" s="165">
        <v>16</v>
      </c>
      <c r="Q34" s="161">
        <v>59</v>
      </c>
      <c r="R34" s="161">
        <v>60</v>
      </c>
      <c r="S34" s="161">
        <v>61</v>
      </c>
      <c r="T34" s="161">
        <v>62</v>
      </c>
      <c r="U34" s="161">
        <v>63</v>
      </c>
      <c r="V34" s="165">
        <v>16</v>
      </c>
    </row>
    <row r="35" spans="1:22" ht="11.25">
      <c r="A35" s="165">
        <v>17</v>
      </c>
      <c r="R35" s="161">
        <v>59</v>
      </c>
      <c r="S35" s="161">
        <v>60</v>
      </c>
      <c r="T35" s="161">
        <v>61</v>
      </c>
      <c r="U35" s="161">
        <v>62</v>
      </c>
      <c r="V35" s="165">
        <v>17</v>
      </c>
    </row>
    <row r="36" spans="1:22" ht="11.25">
      <c r="A36" s="165">
        <v>18</v>
      </c>
      <c r="S36" s="161">
        <v>59</v>
      </c>
      <c r="T36" s="161">
        <v>60</v>
      </c>
      <c r="U36" s="161">
        <v>61</v>
      </c>
      <c r="V36" s="165">
        <v>18</v>
      </c>
    </row>
    <row r="37" spans="1:22" ht="11.25">
      <c r="A37" s="165">
        <v>19</v>
      </c>
      <c r="T37" s="161">
        <v>59</v>
      </c>
      <c r="U37" s="161">
        <v>60</v>
      </c>
      <c r="V37" s="165">
        <v>19</v>
      </c>
    </row>
    <row r="38" spans="1:22" ht="11.25">
      <c r="A38" s="165">
        <v>20</v>
      </c>
      <c r="U38" s="161">
        <v>59</v>
      </c>
      <c r="V38" s="165">
        <v>20</v>
      </c>
    </row>
    <row r="39" spans="2:22" ht="11.25">
      <c r="B39" s="166" t="s">
        <v>18</v>
      </c>
      <c r="C39" s="161" t="s">
        <v>19</v>
      </c>
      <c r="U39" s="163" t="s">
        <v>18</v>
      </c>
      <c r="V39" s="163" t="s">
        <v>18</v>
      </c>
    </row>
    <row r="41" ht="11.25">
      <c r="D41" s="161" t="s">
        <v>20</v>
      </c>
    </row>
    <row r="43" spans="1:24" ht="11.25">
      <c r="A43" s="28"/>
      <c r="B43" s="28"/>
      <c r="C43" s="28"/>
      <c r="D43" s="28"/>
      <c r="E43" s="28"/>
      <c r="F43" s="28"/>
      <c r="G43" s="28"/>
      <c r="H43" s="28"/>
      <c r="I43" s="28"/>
      <c r="J43" s="28"/>
      <c r="K43" s="28"/>
      <c r="L43" s="28"/>
      <c r="M43" s="28"/>
      <c r="N43" s="28"/>
      <c r="O43" s="28"/>
      <c r="P43" s="28"/>
      <c r="Q43" s="28"/>
      <c r="R43" s="28"/>
      <c r="S43" s="28"/>
      <c r="T43" s="28"/>
      <c r="U43" s="28"/>
      <c r="V43" s="28"/>
      <c r="W43" s="28"/>
      <c r="X43" s="28"/>
    </row>
    <row r="44" spans="1:24" ht="11.25">
      <c r="A44" s="167"/>
      <c r="B44" s="167">
        <v>1</v>
      </c>
      <c r="C44" s="167">
        <v>2</v>
      </c>
      <c r="D44" s="167">
        <v>3</v>
      </c>
      <c r="E44" s="167">
        <v>4</v>
      </c>
      <c r="F44" s="167">
        <v>5</v>
      </c>
      <c r="G44" s="167">
        <v>6</v>
      </c>
      <c r="H44" s="167">
        <v>7</v>
      </c>
      <c r="I44" s="167">
        <v>8</v>
      </c>
      <c r="J44" s="167">
        <v>9</v>
      </c>
      <c r="K44" s="167">
        <v>10</v>
      </c>
      <c r="L44" s="167">
        <v>11</v>
      </c>
      <c r="M44" s="167">
        <v>12</v>
      </c>
      <c r="N44" s="167">
        <v>13</v>
      </c>
      <c r="O44" s="167">
        <v>14</v>
      </c>
      <c r="P44" s="167">
        <v>15</v>
      </c>
      <c r="Q44" s="167">
        <v>16</v>
      </c>
      <c r="R44" s="167">
        <v>17</v>
      </c>
      <c r="S44" s="167">
        <v>18</v>
      </c>
      <c r="T44" s="167">
        <v>19</v>
      </c>
      <c r="U44" s="167" t="s">
        <v>17</v>
      </c>
      <c r="V44" s="167"/>
      <c r="W44" s="28"/>
      <c r="X44" s="28"/>
    </row>
    <row r="45" spans="1:24" ht="11.25">
      <c r="A45" s="167">
        <v>1</v>
      </c>
      <c r="B45" s="167">
        <v>0</v>
      </c>
      <c r="C45" s="167">
        <v>10</v>
      </c>
      <c r="D45" s="167">
        <v>31</v>
      </c>
      <c r="E45" s="167">
        <v>43</v>
      </c>
      <c r="F45" s="167">
        <v>52</v>
      </c>
      <c r="G45" s="167">
        <v>60</v>
      </c>
      <c r="H45" s="167">
        <v>66</v>
      </c>
      <c r="I45" s="167">
        <v>72</v>
      </c>
      <c r="J45" s="167">
        <v>76</v>
      </c>
      <c r="K45" s="167">
        <v>80</v>
      </c>
      <c r="L45" s="167">
        <v>84</v>
      </c>
      <c r="M45" s="167">
        <v>87</v>
      </c>
      <c r="N45" s="167">
        <v>90</v>
      </c>
      <c r="O45" s="167">
        <v>92</v>
      </c>
      <c r="P45" s="167">
        <v>94</v>
      </c>
      <c r="Q45" s="167">
        <v>96</v>
      </c>
      <c r="R45" s="167">
        <v>97</v>
      </c>
      <c r="S45" s="167">
        <v>98</v>
      </c>
      <c r="T45" s="167">
        <v>99</v>
      </c>
      <c r="U45" s="167">
        <v>100</v>
      </c>
      <c r="V45" s="167">
        <v>1</v>
      </c>
      <c r="W45" s="28"/>
      <c r="X45" s="28"/>
    </row>
    <row r="46" spans="1:24" ht="11.25">
      <c r="A46" s="167">
        <v>2</v>
      </c>
      <c r="B46" s="167"/>
      <c r="C46" s="167">
        <v>4</v>
      </c>
      <c r="D46" s="167">
        <v>25</v>
      </c>
      <c r="E46" s="167">
        <v>37</v>
      </c>
      <c r="F46" s="167">
        <v>46</v>
      </c>
      <c r="G46" s="167">
        <v>54</v>
      </c>
      <c r="H46" s="167">
        <v>60</v>
      </c>
      <c r="I46" s="167">
        <v>66</v>
      </c>
      <c r="J46" s="167">
        <v>70</v>
      </c>
      <c r="K46" s="167">
        <v>74</v>
      </c>
      <c r="L46" s="167">
        <v>78</v>
      </c>
      <c r="M46" s="167">
        <v>81</v>
      </c>
      <c r="N46" s="167">
        <v>84</v>
      </c>
      <c r="O46" s="167">
        <v>86</v>
      </c>
      <c r="P46" s="167">
        <v>88</v>
      </c>
      <c r="Q46" s="167">
        <v>90</v>
      </c>
      <c r="R46" s="167">
        <v>91</v>
      </c>
      <c r="S46" s="167">
        <v>92</v>
      </c>
      <c r="T46" s="167">
        <v>93</v>
      </c>
      <c r="U46" s="167">
        <v>94</v>
      </c>
      <c r="V46" s="167">
        <v>2</v>
      </c>
      <c r="W46" s="28"/>
      <c r="X46" s="28"/>
    </row>
    <row r="47" spans="1:24" ht="11.25">
      <c r="A47" s="167">
        <v>3</v>
      </c>
      <c r="B47" s="167"/>
      <c r="C47" s="167"/>
      <c r="D47" s="167">
        <v>21</v>
      </c>
      <c r="E47" s="167">
        <v>33</v>
      </c>
      <c r="F47" s="167">
        <v>42</v>
      </c>
      <c r="G47" s="167">
        <v>50</v>
      </c>
      <c r="H47" s="167">
        <v>56</v>
      </c>
      <c r="I47" s="167">
        <v>62</v>
      </c>
      <c r="J47" s="167">
        <v>66</v>
      </c>
      <c r="K47" s="167">
        <v>70</v>
      </c>
      <c r="L47" s="167">
        <v>74</v>
      </c>
      <c r="M47" s="167">
        <v>77</v>
      </c>
      <c r="N47" s="167">
        <v>80</v>
      </c>
      <c r="O47" s="167">
        <v>82</v>
      </c>
      <c r="P47" s="167">
        <v>84</v>
      </c>
      <c r="Q47" s="167">
        <v>86</v>
      </c>
      <c r="R47" s="167">
        <v>87</v>
      </c>
      <c r="S47" s="167">
        <v>88</v>
      </c>
      <c r="T47" s="167">
        <v>89</v>
      </c>
      <c r="U47" s="167">
        <v>90</v>
      </c>
      <c r="V47" s="167">
        <v>3</v>
      </c>
      <c r="W47" s="28"/>
      <c r="X47" s="28"/>
    </row>
    <row r="48" spans="1:24" ht="11.25">
      <c r="A48" s="167">
        <v>4</v>
      </c>
      <c r="B48" s="167"/>
      <c r="C48" s="167"/>
      <c r="D48" s="167"/>
      <c r="E48" s="167">
        <v>29</v>
      </c>
      <c r="F48" s="167">
        <v>38</v>
      </c>
      <c r="G48" s="167">
        <v>46</v>
      </c>
      <c r="H48" s="167">
        <v>52</v>
      </c>
      <c r="I48" s="167">
        <v>58</v>
      </c>
      <c r="J48" s="167">
        <v>62</v>
      </c>
      <c r="K48" s="167">
        <v>68</v>
      </c>
      <c r="L48" s="167">
        <v>70</v>
      </c>
      <c r="M48" s="167">
        <v>73</v>
      </c>
      <c r="N48" s="167">
        <v>76</v>
      </c>
      <c r="O48" s="167">
        <v>78</v>
      </c>
      <c r="P48" s="167">
        <v>80</v>
      </c>
      <c r="Q48" s="167">
        <v>82</v>
      </c>
      <c r="R48" s="167">
        <v>83</v>
      </c>
      <c r="S48" s="167">
        <v>84</v>
      </c>
      <c r="T48" s="167">
        <v>85</v>
      </c>
      <c r="U48" s="167">
        <v>86</v>
      </c>
      <c r="V48" s="167">
        <v>4</v>
      </c>
      <c r="W48" s="28"/>
      <c r="X48" s="28"/>
    </row>
    <row r="49" spans="1:24" ht="11.25">
      <c r="A49" s="167">
        <v>5</v>
      </c>
      <c r="B49" s="167"/>
      <c r="C49" s="167"/>
      <c r="D49" s="167"/>
      <c r="E49" s="167"/>
      <c r="F49" s="167">
        <v>35</v>
      </c>
      <c r="G49" s="167">
        <v>43</v>
      </c>
      <c r="H49" s="167">
        <v>49</v>
      </c>
      <c r="I49" s="167">
        <v>55</v>
      </c>
      <c r="J49" s="167">
        <v>59</v>
      </c>
      <c r="K49" s="167">
        <v>63</v>
      </c>
      <c r="L49" s="167">
        <v>67</v>
      </c>
      <c r="M49" s="167">
        <v>70</v>
      </c>
      <c r="N49" s="167">
        <v>73</v>
      </c>
      <c r="O49" s="167">
        <v>75</v>
      </c>
      <c r="P49" s="167">
        <v>77</v>
      </c>
      <c r="Q49" s="167">
        <v>79</v>
      </c>
      <c r="R49" s="167">
        <v>80</v>
      </c>
      <c r="S49" s="167">
        <v>81</v>
      </c>
      <c r="T49" s="167">
        <v>82</v>
      </c>
      <c r="U49" s="167">
        <v>83</v>
      </c>
      <c r="V49" s="167">
        <v>5</v>
      </c>
      <c r="W49" s="28"/>
      <c r="X49" s="28"/>
    </row>
    <row r="50" spans="1:24" ht="11.25">
      <c r="A50" s="167">
        <v>6</v>
      </c>
      <c r="B50" s="167"/>
      <c r="C50" s="167"/>
      <c r="D50" s="167"/>
      <c r="E50" s="167"/>
      <c r="F50" s="167"/>
      <c r="G50" s="167">
        <v>40</v>
      </c>
      <c r="H50" s="167">
        <v>46</v>
      </c>
      <c r="I50" s="167">
        <v>52</v>
      </c>
      <c r="J50" s="167">
        <v>56</v>
      </c>
      <c r="K50" s="167">
        <v>60</v>
      </c>
      <c r="L50" s="167">
        <v>64</v>
      </c>
      <c r="M50" s="167">
        <v>67</v>
      </c>
      <c r="N50" s="167">
        <v>70</v>
      </c>
      <c r="O50" s="167">
        <v>72</v>
      </c>
      <c r="P50" s="167">
        <v>74</v>
      </c>
      <c r="Q50" s="167">
        <v>76</v>
      </c>
      <c r="R50" s="167">
        <v>77</v>
      </c>
      <c r="S50" s="167">
        <v>78</v>
      </c>
      <c r="T50" s="167">
        <v>79</v>
      </c>
      <c r="U50" s="167">
        <v>80</v>
      </c>
      <c r="V50" s="167">
        <v>6</v>
      </c>
      <c r="W50" s="28"/>
      <c r="X50" s="28"/>
    </row>
    <row r="51" spans="1:24" s="168" customFormat="1" ht="11.25">
      <c r="A51" s="167">
        <v>7</v>
      </c>
      <c r="B51" s="167"/>
      <c r="C51" s="167"/>
      <c r="D51" s="167"/>
      <c r="E51" s="167"/>
      <c r="F51" s="167"/>
      <c r="G51" s="167"/>
      <c r="H51" s="167">
        <v>44</v>
      </c>
      <c r="I51" s="167">
        <v>50</v>
      </c>
      <c r="J51" s="167">
        <v>54</v>
      </c>
      <c r="K51" s="167">
        <v>58</v>
      </c>
      <c r="L51" s="167">
        <v>62</v>
      </c>
      <c r="M51" s="167">
        <v>65</v>
      </c>
      <c r="N51" s="167">
        <v>68</v>
      </c>
      <c r="O51" s="167">
        <v>70</v>
      </c>
      <c r="P51" s="167">
        <v>72</v>
      </c>
      <c r="Q51" s="167">
        <v>74</v>
      </c>
      <c r="R51" s="167">
        <v>75</v>
      </c>
      <c r="S51" s="167">
        <v>76</v>
      </c>
      <c r="T51" s="167">
        <v>77</v>
      </c>
      <c r="U51" s="167">
        <v>78</v>
      </c>
      <c r="V51" s="167">
        <v>7</v>
      </c>
      <c r="W51" s="73"/>
      <c r="X51" s="73"/>
    </row>
    <row r="52" spans="1:24" ht="11.25">
      <c r="A52" s="167">
        <v>8</v>
      </c>
      <c r="B52" s="167"/>
      <c r="C52" s="167"/>
      <c r="D52" s="167"/>
      <c r="E52" s="167"/>
      <c r="F52" s="167"/>
      <c r="G52" s="167"/>
      <c r="H52" s="167"/>
      <c r="I52" s="167">
        <v>48</v>
      </c>
      <c r="J52" s="167">
        <v>52</v>
      </c>
      <c r="K52" s="167">
        <v>56</v>
      </c>
      <c r="L52" s="167">
        <v>60</v>
      </c>
      <c r="M52" s="167">
        <v>63</v>
      </c>
      <c r="N52" s="167">
        <v>66</v>
      </c>
      <c r="O52" s="167">
        <v>68</v>
      </c>
      <c r="P52" s="167">
        <v>70</v>
      </c>
      <c r="Q52" s="167">
        <v>72</v>
      </c>
      <c r="R52" s="167">
        <v>73</v>
      </c>
      <c r="S52" s="167">
        <v>74</v>
      </c>
      <c r="T52" s="167">
        <v>75</v>
      </c>
      <c r="U52" s="167">
        <v>76</v>
      </c>
      <c r="V52" s="167">
        <v>8</v>
      </c>
      <c r="W52" s="28"/>
      <c r="X52" s="28"/>
    </row>
    <row r="53" spans="1:24" ht="11.25">
      <c r="A53" s="167">
        <v>9</v>
      </c>
      <c r="B53" s="167"/>
      <c r="C53" s="167"/>
      <c r="D53" s="167"/>
      <c r="E53" s="167"/>
      <c r="F53" s="167"/>
      <c r="G53" s="167"/>
      <c r="H53" s="167"/>
      <c r="I53" s="167"/>
      <c r="J53" s="167">
        <v>50</v>
      </c>
      <c r="K53" s="167">
        <v>54</v>
      </c>
      <c r="L53" s="167">
        <v>58</v>
      </c>
      <c r="M53" s="167">
        <v>61</v>
      </c>
      <c r="N53" s="167">
        <v>64</v>
      </c>
      <c r="O53" s="167">
        <v>66</v>
      </c>
      <c r="P53" s="167">
        <v>68</v>
      </c>
      <c r="Q53" s="167">
        <v>70</v>
      </c>
      <c r="R53" s="167">
        <v>71</v>
      </c>
      <c r="S53" s="167">
        <v>72</v>
      </c>
      <c r="T53" s="167">
        <v>73</v>
      </c>
      <c r="U53" s="167">
        <v>74</v>
      </c>
      <c r="V53" s="167">
        <v>9</v>
      </c>
      <c r="W53" s="28"/>
      <c r="X53" s="28"/>
    </row>
    <row r="54" spans="1:24" ht="11.25">
      <c r="A54" s="167">
        <v>10</v>
      </c>
      <c r="B54" s="167"/>
      <c r="C54" s="167"/>
      <c r="D54" s="167"/>
      <c r="E54" s="167"/>
      <c r="F54" s="167"/>
      <c r="G54" s="167"/>
      <c r="H54" s="167"/>
      <c r="I54" s="167"/>
      <c r="J54" s="167"/>
      <c r="K54" s="167">
        <v>52</v>
      </c>
      <c r="L54" s="167">
        <v>56</v>
      </c>
      <c r="M54" s="167">
        <v>59</v>
      </c>
      <c r="N54" s="167">
        <v>62</v>
      </c>
      <c r="O54" s="167">
        <v>64</v>
      </c>
      <c r="P54" s="167">
        <v>66</v>
      </c>
      <c r="Q54" s="167">
        <v>68</v>
      </c>
      <c r="R54" s="167">
        <v>69</v>
      </c>
      <c r="S54" s="167">
        <v>70</v>
      </c>
      <c r="T54" s="167">
        <v>71</v>
      </c>
      <c r="U54" s="167">
        <v>72</v>
      </c>
      <c r="V54" s="167">
        <v>10</v>
      </c>
      <c r="W54" s="28"/>
      <c r="X54" s="28"/>
    </row>
    <row r="55" spans="1:24" ht="11.25">
      <c r="A55" s="167">
        <v>11</v>
      </c>
      <c r="B55" s="167"/>
      <c r="C55" s="167"/>
      <c r="D55" s="167"/>
      <c r="E55" s="167"/>
      <c r="F55" s="167"/>
      <c r="G55" s="167"/>
      <c r="H55" s="167"/>
      <c r="I55" s="167"/>
      <c r="J55" s="167"/>
      <c r="K55" s="167"/>
      <c r="L55" s="167">
        <v>54</v>
      </c>
      <c r="M55" s="167">
        <v>57</v>
      </c>
      <c r="N55" s="167">
        <v>60</v>
      </c>
      <c r="O55" s="167">
        <v>62</v>
      </c>
      <c r="P55" s="167">
        <v>64</v>
      </c>
      <c r="Q55" s="167">
        <v>66</v>
      </c>
      <c r="R55" s="167">
        <v>67</v>
      </c>
      <c r="S55" s="167">
        <v>68</v>
      </c>
      <c r="T55" s="167">
        <v>69</v>
      </c>
      <c r="U55" s="167">
        <v>70</v>
      </c>
      <c r="V55" s="167">
        <v>11</v>
      </c>
      <c r="W55" s="28"/>
      <c r="X55" s="28"/>
    </row>
    <row r="56" spans="1:24" ht="11.25">
      <c r="A56" s="167">
        <v>12</v>
      </c>
      <c r="B56" s="167"/>
      <c r="C56" s="167"/>
      <c r="D56" s="167"/>
      <c r="E56" s="167"/>
      <c r="F56" s="167"/>
      <c r="G56" s="167"/>
      <c r="H56" s="167"/>
      <c r="I56" s="167"/>
      <c r="J56" s="167"/>
      <c r="K56" s="167"/>
      <c r="L56" s="167"/>
      <c r="M56" s="167">
        <v>55</v>
      </c>
      <c r="N56" s="167">
        <v>58</v>
      </c>
      <c r="O56" s="167">
        <v>60</v>
      </c>
      <c r="P56" s="167">
        <v>62</v>
      </c>
      <c r="Q56" s="167">
        <v>64</v>
      </c>
      <c r="R56" s="167">
        <v>65</v>
      </c>
      <c r="S56" s="167">
        <v>66</v>
      </c>
      <c r="T56" s="167">
        <v>67</v>
      </c>
      <c r="U56" s="167">
        <v>68</v>
      </c>
      <c r="V56" s="167">
        <v>12</v>
      </c>
      <c r="W56" s="28"/>
      <c r="X56" s="28"/>
    </row>
    <row r="57" spans="1:24" ht="11.25">
      <c r="A57" s="167">
        <v>13</v>
      </c>
      <c r="B57" s="167"/>
      <c r="C57" s="167"/>
      <c r="D57" s="167"/>
      <c r="E57" s="167"/>
      <c r="F57" s="167"/>
      <c r="G57" s="167"/>
      <c r="H57" s="167"/>
      <c r="I57" s="167"/>
      <c r="J57" s="167"/>
      <c r="K57" s="167"/>
      <c r="L57" s="167"/>
      <c r="M57" s="167"/>
      <c r="N57" s="167">
        <v>56</v>
      </c>
      <c r="O57" s="167">
        <v>58</v>
      </c>
      <c r="P57" s="167">
        <v>60</v>
      </c>
      <c r="Q57" s="167">
        <v>62</v>
      </c>
      <c r="R57" s="167">
        <v>63</v>
      </c>
      <c r="S57" s="167">
        <v>64</v>
      </c>
      <c r="T57" s="167">
        <v>65</v>
      </c>
      <c r="U57" s="167">
        <v>66</v>
      </c>
      <c r="V57" s="167">
        <v>13</v>
      </c>
      <c r="W57" s="28"/>
      <c r="X57" s="28"/>
    </row>
    <row r="58" spans="1:24" ht="11.25">
      <c r="A58" s="167">
        <v>14</v>
      </c>
      <c r="B58" s="167"/>
      <c r="C58" s="167"/>
      <c r="D58" s="167"/>
      <c r="E58" s="167"/>
      <c r="F58" s="167"/>
      <c r="G58" s="167"/>
      <c r="H58" s="167"/>
      <c r="I58" s="167"/>
      <c r="J58" s="167"/>
      <c r="K58" s="167"/>
      <c r="L58" s="167"/>
      <c r="M58" s="167"/>
      <c r="N58" s="167"/>
      <c r="O58" s="167">
        <v>57</v>
      </c>
      <c r="P58" s="167">
        <v>59</v>
      </c>
      <c r="Q58" s="167">
        <v>61</v>
      </c>
      <c r="R58" s="167">
        <v>62</v>
      </c>
      <c r="S58" s="167">
        <v>63</v>
      </c>
      <c r="T58" s="167">
        <v>64</v>
      </c>
      <c r="U58" s="167">
        <v>65</v>
      </c>
      <c r="V58" s="167">
        <v>14</v>
      </c>
      <c r="W58" s="28"/>
      <c r="X58" s="28"/>
    </row>
    <row r="59" spans="1:24" ht="11.25">
      <c r="A59" s="167">
        <v>15</v>
      </c>
      <c r="B59" s="167"/>
      <c r="C59" s="167"/>
      <c r="D59" s="167"/>
      <c r="E59" s="167"/>
      <c r="F59" s="167"/>
      <c r="G59" s="167"/>
      <c r="H59" s="167"/>
      <c r="I59" s="167"/>
      <c r="J59" s="167"/>
      <c r="K59" s="167"/>
      <c r="L59" s="167"/>
      <c r="M59" s="167"/>
      <c r="N59" s="167"/>
      <c r="O59" s="167"/>
      <c r="P59" s="167">
        <v>58</v>
      </c>
      <c r="Q59" s="167">
        <v>60</v>
      </c>
      <c r="R59" s="167">
        <v>61</v>
      </c>
      <c r="S59" s="167">
        <v>62</v>
      </c>
      <c r="T59" s="167">
        <v>63</v>
      </c>
      <c r="U59" s="167">
        <v>64</v>
      </c>
      <c r="V59" s="167">
        <v>15</v>
      </c>
      <c r="W59" s="28"/>
      <c r="X59" s="28"/>
    </row>
    <row r="60" spans="1:24" ht="11.25">
      <c r="A60" s="167">
        <v>16</v>
      </c>
      <c r="B60" s="167"/>
      <c r="C60" s="167"/>
      <c r="D60" s="167"/>
      <c r="E60" s="167"/>
      <c r="F60" s="167"/>
      <c r="G60" s="167"/>
      <c r="H60" s="167"/>
      <c r="I60" s="167"/>
      <c r="J60" s="167"/>
      <c r="K60" s="167"/>
      <c r="L60" s="167"/>
      <c r="M60" s="167"/>
      <c r="N60" s="167"/>
      <c r="O60" s="167"/>
      <c r="P60" s="167"/>
      <c r="Q60" s="167">
        <v>59</v>
      </c>
      <c r="R60" s="167">
        <v>60</v>
      </c>
      <c r="S60" s="167">
        <v>61</v>
      </c>
      <c r="T60" s="167">
        <v>62</v>
      </c>
      <c r="U60" s="167">
        <v>63</v>
      </c>
      <c r="V60" s="167">
        <v>16</v>
      </c>
      <c r="W60" s="28"/>
      <c r="X60" s="28"/>
    </row>
    <row r="61" spans="1:24" ht="11.25">
      <c r="A61" s="167">
        <v>17</v>
      </c>
      <c r="B61" s="167"/>
      <c r="C61" s="167"/>
      <c r="D61" s="167"/>
      <c r="E61" s="167"/>
      <c r="F61" s="167"/>
      <c r="G61" s="167"/>
      <c r="H61" s="167"/>
      <c r="I61" s="167"/>
      <c r="J61" s="167"/>
      <c r="K61" s="167"/>
      <c r="L61" s="167"/>
      <c r="M61" s="167"/>
      <c r="N61" s="167"/>
      <c r="O61" s="167"/>
      <c r="P61" s="167"/>
      <c r="Q61" s="167"/>
      <c r="R61" s="167">
        <v>59</v>
      </c>
      <c r="S61" s="167">
        <v>60</v>
      </c>
      <c r="T61" s="167">
        <v>61</v>
      </c>
      <c r="U61" s="167">
        <v>62</v>
      </c>
      <c r="V61" s="167">
        <v>17</v>
      </c>
      <c r="W61" s="28"/>
      <c r="X61" s="28"/>
    </row>
    <row r="62" spans="1:24" ht="11.25">
      <c r="A62" s="167">
        <v>18</v>
      </c>
      <c r="B62" s="167"/>
      <c r="C62" s="167"/>
      <c r="D62" s="167"/>
      <c r="E62" s="167"/>
      <c r="F62" s="167"/>
      <c r="G62" s="167"/>
      <c r="H62" s="167"/>
      <c r="I62" s="167"/>
      <c r="J62" s="167"/>
      <c r="K62" s="167"/>
      <c r="L62" s="167"/>
      <c r="M62" s="167"/>
      <c r="N62" s="167"/>
      <c r="O62" s="167"/>
      <c r="P62" s="167"/>
      <c r="Q62" s="167"/>
      <c r="R62" s="167"/>
      <c r="S62" s="167">
        <v>59</v>
      </c>
      <c r="T62" s="167">
        <v>60</v>
      </c>
      <c r="U62" s="167">
        <v>61</v>
      </c>
      <c r="V62" s="167">
        <v>18</v>
      </c>
      <c r="W62" s="28"/>
      <c r="X62" s="28"/>
    </row>
    <row r="63" spans="1:24" ht="11.25">
      <c r="A63" s="167">
        <v>19</v>
      </c>
      <c r="B63" s="167"/>
      <c r="C63" s="167"/>
      <c r="D63" s="167"/>
      <c r="E63" s="167"/>
      <c r="F63" s="167"/>
      <c r="G63" s="167"/>
      <c r="H63" s="167"/>
      <c r="I63" s="167"/>
      <c r="J63" s="167"/>
      <c r="K63" s="167"/>
      <c r="L63" s="167"/>
      <c r="M63" s="167"/>
      <c r="N63" s="167"/>
      <c r="O63" s="167"/>
      <c r="P63" s="167"/>
      <c r="Q63" s="167"/>
      <c r="R63" s="167"/>
      <c r="S63" s="167"/>
      <c r="T63" s="167">
        <v>59</v>
      </c>
      <c r="U63" s="167">
        <v>60</v>
      </c>
      <c r="V63" s="167">
        <v>19</v>
      </c>
      <c r="W63" s="28"/>
      <c r="X63" s="28"/>
    </row>
    <row r="64" spans="1:24" ht="11.25">
      <c r="A64" s="167">
        <v>20</v>
      </c>
      <c r="B64" s="167"/>
      <c r="C64" s="167"/>
      <c r="D64" s="167"/>
      <c r="E64" s="167"/>
      <c r="F64" s="167"/>
      <c r="G64" s="167"/>
      <c r="H64" s="167"/>
      <c r="I64" s="167"/>
      <c r="J64" s="167"/>
      <c r="K64" s="167"/>
      <c r="L64" s="167"/>
      <c r="M64" s="167"/>
      <c r="N64" s="167"/>
      <c r="O64" s="167"/>
      <c r="P64" s="167"/>
      <c r="Q64" s="167"/>
      <c r="R64" s="167"/>
      <c r="S64" s="167"/>
      <c r="T64" s="167"/>
      <c r="U64" s="167">
        <v>59</v>
      </c>
      <c r="V64" s="167">
        <v>20</v>
      </c>
      <c r="W64" s="28"/>
      <c r="X64" s="28"/>
    </row>
    <row r="65" spans="1:24" ht="11.25">
      <c r="A65" s="167"/>
      <c r="B65" s="169" t="s">
        <v>18</v>
      </c>
      <c r="C65" s="167" t="s">
        <v>19</v>
      </c>
      <c r="D65" s="167"/>
      <c r="E65" s="167"/>
      <c r="F65" s="167"/>
      <c r="G65" s="167"/>
      <c r="H65" s="167"/>
      <c r="I65" s="167"/>
      <c r="J65" s="167"/>
      <c r="K65" s="167"/>
      <c r="L65" s="167"/>
      <c r="M65" s="167"/>
      <c r="N65" s="167"/>
      <c r="O65" s="167"/>
      <c r="P65" s="167"/>
      <c r="Q65" s="167"/>
      <c r="R65" s="167"/>
      <c r="S65" s="167"/>
      <c r="T65" s="167"/>
      <c r="U65" s="170" t="s">
        <v>18</v>
      </c>
      <c r="V65" s="170" t="s">
        <v>18</v>
      </c>
      <c r="W65" s="28"/>
      <c r="X65" s="28"/>
    </row>
    <row r="66" spans="1:24" ht="11.25">
      <c r="A66" s="167"/>
      <c r="B66" s="167"/>
      <c r="C66" s="167"/>
      <c r="D66" s="167"/>
      <c r="E66" s="167"/>
      <c r="F66" s="167"/>
      <c r="G66" s="167"/>
      <c r="H66" s="167"/>
      <c r="I66" s="167"/>
      <c r="J66" s="167"/>
      <c r="K66" s="167"/>
      <c r="L66" s="167"/>
      <c r="M66" s="167"/>
      <c r="N66" s="167"/>
      <c r="O66" s="167"/>
      <c r="P66" s="167"/>
      <c r="Q66" s="167"/>
      <c r="R66" s="167"/>
      <c r="S66" s="167"/>
      <c r="T66" s="167"/>
      <c r="U66" s="167"/>
      <c r="V66" s="167"/>
      <c r="W66" s="28"/>
      <c r="X66" s="28"/>
    </row>
    <row r="67" spans="1:24" ht="11.25">
      <c r="A67" s="167"/>
      <c r="B67" s="167"/>
      <c r="C67" s="167"/>
      <c r="D67" s="167" t="s">
        <v>20</v>
      </c>
      <c r="E67" s="167"/>
      <c r="F67" s="167"/>
      <c r="G67" s="167"/>
      <c r="H67" s="167"/>
      <c r="I67" s="167"/>
      <c r="J67" s="167"/>
      <c r="K67" s="167"/>
      <c r="L67" s="167"/>
      <c r="M67" s="167"/>
      <c r="N67" s="167"/>
      <c r="O67" s="167"/>
      <c r="P67" s="167"/>
      <c r="Q67" s="167"/>
      <c r="R67" s="167"/>
      <c r="S67" s="167"/>
      <c r="T67" s="167"/>
      <c r="U67" s="167"/>
      <c r="V67" s="167"/>
      <c r="W67" s="28"/>
      <c r="X67" s="28"/>
    </row>
    <row r="68" spans="1:24" ht="11.25">
      <c r="A68" s="28"/>
      <c r="B68" s="28"/>
      <c r="C68" s="28"/>
      <c r="D68" s="28"/>
      <c r="E68" s="28"/>
      <c r="F68" s="28"/>
      <c r="G68" s="28"/>
      <c r="H68" s="28"/>
      <c r="I68" s="28"/>
      <c r="J68" s="28"/>
      <c r="K68" s="28"/>
      <c r="L68" s="28"/>
      <c r="M68" s="28"/>
      <c r="N68" s="28"/>
      <c r="O68" s="28"/>
      <c r="P68" s="28"/>
      <c r="Q68" s="28"/>
      <c r="R68" s="28"/>
      <c r="S68" s="28"/>
      <c r="T68" s="28"/>
      <c r="U68" s="28"/>
      <c r="V68" s="28"/>
      <c r="W68" s="28"/>
      <c r="X68" s="28"/>
    </row>
    <row r="69" spans="1:24" ht="11.25">
      <c r="A69" s="28"/>
      <c r="B69" s="28"/>
      <c r="C69" s="28"/>
      <c r="D69" s="28"/>
      <c r="E69" s="28"/>
      <c r="F69" s="28"/>
      <c r="G69" s="28"/>
      <c r="H69" s="28"/>
      <c r="I69" s="28"/>
      <c r="J69" s="28"/>
      <c r="K69" s="28"/>
      <c r="L69" s="28"/>
      <c r="M69" s="28"/>
      <c r="N69" s="28"/>
      <c r="O69" s="28"/>
      <c r="P69" s="28"/>
      <c r="Q69" s="28"/>
      <c r="R69" s="28"/>
      <c r="S69" s="28"/>
      <c r="T69" s="28"/>
      <c r="U69" s="28"/>
      <c r="V69" s="28"/>
      <c r="W69" s="28"/>
      <c r="X69" s="28"/>
    </row>
    <row r="70" spans="1:24" ht="11.25">
      <c r="A70" s="28"/>
      <c r="B70" s="28"/>
      <c r="C70" s="28"/>
      <c r="D70" s="28"/>
      <c r="E70" s="28"/>
      <c r="F70" s="28"/>
      <c r="G70" s="28"/>
      <c r="H70" s="28"/>
      <c r="I70" s="28"/>
      <c r="J70" s="28"/>
      <c r="K70" s="28"/>
      <c r="L70" s="28"/>
      <c r="M70" s="28"/>
      <c r="N70" s="28"/>
      <c r="O70" s="28"/>
      <c r="P70" s="28"/>
      <c r="Q70" s="28"/>
      <c r="R70" s="28"/>
      <c r="S70" s="28"/>
      <c r="T70" s="28"/>
      <c r="U70" s="28"/>
      <c r="V70" s="28"/>
      <c r="W70" s="28"/>
      <c r="X70" s="28"/>
    </row>
    <row r="71" spans="1:24" ht="11.25">
      <c r="A71" s="28"/>
      <c r="B71" s="28"/>
      <c r="C71" s="28"/>
      <c r="D71" s="28"/>
      <c r="E71" s="28"/>
      <c r="F71" s="28"/>
      <c r="G71" s="28"/>
      <c r="H71" s="28"/>
      <c r="I71" s="28"/>
      <c r="J71" s="28"/>
      <c r="K71" s="28"/>
      <c r="L71" s="28"/>
      <c r="M71" s="28"/>
      <c r="N71" s="28"/>
      <c r="O71" s="28"/>
      <c r="P71" s="28"/>
      <c r="Q71" s="28"/>
      <c r="R71" s="28"/>
      <c r="S71" s="28"/>
      <c r="T71" s="28"/>
      <c r="U71" s="28"/>
      <c r="V71" s="28"/>
      <c r="W71" s="28"/>
      <c r="X71" s="28"/>
    </row>
    <row r="72" spans="1:24" ht="11.25">
      <c r="A72" s="28"/>
      <c r="B72" s="28"/>
      <c r="C72" s="28"/>
      <c r="D72" s="28"/>
      <c r="E72" s="28"/>
      <c r="F72" s="28"/>
      <c r="G72" s="28"/>
      <c r="H72" s="28"/>
      <c r="I72" s="28"/>
      <c r="J72" s="28"/>
      <c r="K72" s="28"/>
      <c r="L72" s="28"/>
      <c r="M72" s="28"/>
      <c r="N72" s="28"/>
      <c r="O72" s="28"/>
      <c r="P72" s="28"/>
      <c r="Q72" s="28"/>
      <c r="R72" s="28"/>
      <c r="S72" s="28"/>
      <c r="T72" s="28"/>
      <c r="U72" s="28"/>
      <c r="V72" s="28"/>
      <c r="W72" s="28"/>
      <c r="X72" s="28"/>
    </row>
    <row r="73" spans="1:24" ht="11.25">
      <c r="A73" s="28"/>
      <c r="B73" s="28"/>
      <c r="C73" s="28"/>
      <c r="D73" s="28"/>
      <c r="E73" s="28"/>
      <c r="F73" s="28"/>
      <c r="G73" s="28"/>
      <c r="H73" s="28"/>
      <c r="I73" s="28"/>
      <c r="J73" s="28"/>
      <c r="K73" s="28"/>
      <c r="L73" s="28"/>
      <c r="M73" s="28"/>
      <c r="N73" s="28"/>
      <c r="O73" s="28"/>
      <c r="P73" s="28"/>
      <c r="Q73" s="28"/>
      <c r="R73" s="28"/>
      <c r="S73" s="28"/>
      <c r="T73" s="28"/>
      <c r="U73" s="28"/>
      <c r="V73" s="28"/>
      <c r="W73" s="28"/>
      <c r="X73" s="28"/>
    </row>
    <row r="74" spans="1:24" ht="11.25">
      <c r="A74" s="28"/>
      <c r="B74" s="28"/>
      <c r="C74" s="28"/>
      <c r="D74" s="28"/>
      <c r="E74" s="28"/>
      <c r="F74" s="28"/>
      <c r="G74" s="28"/>
      <c r="H74" s="28"/>
      <c r="I74" s="28"/>
      <c r="J74" s="28"/>
      <c r="K74" s="28"/>
      <c r="L74" s="28"/>
      <c r="M74" s="28"/>
      <c r="N74" s="28"/>
      <c r="O74" s="28"/>
      <c r="P74" s="28"/>
      <c r="Q74" s="28"/>
      <c r="R74" s="28"/>
      <c r="S74" s="28"/>
      <c r="T74" s="28"/>
      <c r="U74" s="28"/>
      <c r="V74" s="28"/>
      <c r="W74" s="28"/>
      <c r="X74" s="28"/>
    </row>
    <row r="75" spans="1:24" ht="11.25">
      <c r="A75" s="28"/>
      <c r="B75" s="28"/>
      <c r="C75" s="28"/>
      <c r="D75" s="28"/>
      <c r="E75" s="28"/>
      <c r="F75" s="28"/>
      <c r="G75" s="28"/>
      <c r="H75" s="28"/>
      <c r="I75" s="28"/>
      <c r="J75" s="28"/>
      <c r="K75" s="28"/>
      <c r="L75" s="28"/>
      <c r="M75" s="28"/>
      <c r="N75" s="28"/>
      <c r="O75" s="28"/>
      <c r="P75" s="28"/>
      <c r="Q75" s="28"/>
      <c r="R75" s="28"/>
      <c r="S75" s="28"/>
      <c r="T75" s="28"/>
      <c r="U75" s="28"/>
      <c r="V75" s="28"/>
      <c r="W75" s="28"/>
      <c r="X75" s="28"/>
    </row>
    <row r="76" spans="1:24" ht="11.25">
      <c r="A76" s="28"/>
      <c r="B76" s="28"/>
      <c r="C76" s="28"/>
      <c r="D76" s="28"/>
      <c r="E76" s="28"/>
      <c r="F76" s="28"/>
      <c r="G76" s="28"/>
      <c r="H76" s="28"/>
      <c r="I76" s="28"/>
      <c r="J76" s="28"/>
      <c r="K76" s="28"/>
      <c r="L76" s="28"/>
      <c r="M76" s="28"/>
      <c r="N76" s="28"/>
      <c r="O76" s="28"/>
      <c r="P76" s="28"/>
      <c r="Q76" s="28"/>
      <c r="R76" s="28"/>
      <c r="S76" s="28"/>
      <c r="T76" s="28"/>
      <c r="U76" s="28"/>
      <c r="V76" s="28"/>
      <c r="W76" s="28"/>
      <c r="X76" s="28"/>
    </row>
    <row r="77" spans="1:24" ht="11.25">
      <c r="A77" s="28"/>
      <c r="B77" s="28"/>
      <c r="C77" s="28"/>
      <c r="D77" s="28"/>
      <c r="E77" s="28"/>
      <c r="F77" s="28"/>
      <c r="G77" s="28"/>
      <c r="H77" s="28"/>
      <c r="I77" s="28"/>
      <c r="J77" s="28"/>
      <c r="K77" s="28"/>
      <c r="L77" s="28"/>
      <c r="M77" s="28"/>
      <c r="N77" s="28"/>
      <c r="O77" s="28"/>
      <c r="P77" s="28"/>
      <c r="Q77" s="28"/>
      <c r="R77" s="28"/>
      <c r="S77" s="28"/>
      <c r="T77" s="28"/>
      <c r="U77" s="28"/>
      <c r="V77" s="28"/>
      <c r="W77" s="28"/>
      <c r="X77" s="28"/>
    </row>
    <row r="78" spans="1:24" ht="11.25">
      <c r="A78" s="28"/>
      <c r="B78" s="28"/>
      <c r="C78" s="28"/>
      <c r="D78" s="28"/>
      <c r="E78" s="28"/>
      <c r="F78" s="28"/>
      <c r="G78" s="28"/>
      <c r="H78" s="28"/>
      <c r="I78" s="28"/>
      <c r="J78" s="28"/>
      <c r="K78" s="28"/>
      <c r="L78" s="28"/>
      <c r="M78" s="28"/>
      <c r="N78" s="28"/>
      <c r="O78" s="28"/>
      <c r="P78" s="28"/>
      <c r="Q78" s="28"/>
      <c r="R78" s="28"/>
      <c r="S78" s="28"/>
      <c r="T78" s="28"/>
      <c r="U78" s="28"/>
      <c r="V78" s="28"/>
      <c r="W78" s="28"/>
      <c r="X78" s="28"/>
    </row>
    <row r="79" spans="1:24" ht="11.25">
      <c r="A79" s="28"/>
      <c r="B79" s="28"/>
      <c r="C79" s="28"/>
      <c r="D79" s="28"/>
      <c r="E79" s="28"/>
      <c r="F79" s="28"/>
      <c r="G79" s="28"/>
      <c r="H79" s="28"/>
      <c r="I79" s="28"/>
      <c r="J79" s="28"/>
      <c r="K79" s="28"/>
      <c r="L79" s="28"/>
      <c r="M79" s="28"/>
      <c r="N79" s="28"/>
      <c r="O79" s="28"/>
      <c r="P79" s="28"/>
      <c r="Q79" s="28"/>
      <c r="R79" s="28"/>
      <c r="S79" s="28"/>
      <c r="T79" s="28"/>
      <c r="U79" s="28"/>
      <c r="V79" s="28"/>
      <c r="W79" s="28"/>
      <c r="X79" s="28"/>
    </row>
    <row r="80" spans="1:24" ht="11.25">
      <c r="A80" s="28"/>
      <c r="B80" s="28"/>
      <c r="C80" s="28"/>
      <c r="D80" s="28"/>
      <c r="E80" s="28"/>
      <c r="F80" s="28"/>
      <c r="G80" s="28"/>
      <c r="H80" s="28"/>
      <c r="I80" s="28"/>
      <c r="J80" s="28"/>
      <c r="K80" s="28"/>
      <c r="L80" s="28"/>
      <c r="M80" s="28"/>
      <c r="N80" s="28"/>
      <c r="O80" s="28"/>
      <c r="P80" s="28"/>
      <c r="Q80" s="28"/>
      <c r="R80" s="28"/>
      <c r="S80" s="28"/>
      <c r="T80" s="28"/>
      <c r="U80" s="28"/>
      <c r="V80" s="28"/>
      <c r="W80" s="28"/>
      <c r="X80" s="28"/>
    </row>
    <row r="81" spans="1:24" ht="11.25">
      <c r="A81" s="28"/>
      <c r="B81" s="28"/>
      <c r="C81" s="28"/>
      <c r="D81" s="28"/>
      <c r="E81" s="28"/>
      <c r="F81" s="28"/>
      <c r="G81" s="28"/>
      <c r="H81" s="28"/>
      <c r="I81" s="28"/>
      <c r="J81" s="28"/>
      <c r="K81" s="28"/>
      <c r="L81" s="28"/>
      <c r="M81" s="28"/>
      <c r="N81" s="28"/>
      <c r="O81" s="28"/>
      <c r="P81" s="28"/>
      <c r="Q81" s="28"/>
      <c r="R81" s="28"/>
      <c r="S81" s="28"/>
      <c r="T81" s="28"/>
      <c r="U81" s="28"/>
      <c r="V81" s="28"/>
      <c r="W81" s="28"/>
      <c r="X81" s="28"/>
    </row>
    <row r="82" spans="1:24" ht="11.25">
      <c r="A82" s="28"/>
      <c r="B82" s="28"/>
      <c r="C82" s="28"/>
      <c r="D82" s="28"/>
      <c r="E82" s="28"/>
      <c r="F82" s="28"/>
      <c r="G82" s="28"/>
      <c r="H82" s="28"/>
      <c r="I82" s="28"/>
      <c r="J82" s="28"/>
      <c r="K82" s="28"/>
      <c r="L82" s="28"/>
      <c r="M82" s="28"/>
      <c r="N82" s="28"/>
      <c r="O82" s="28"/>
      <c r="P82" s="28"/>
      <c r="Q82" s="28"/>
      <c r="R82" s="28"/>
      <c r="S82" s="28"/>
      <c r="T82" s="28"/>
      <c r="U82" s="28"/>
      <c r="V82" s="28"/>
      <c r="W82" s="28"/>
      <c r="X82" s="28"/>
    </row>
    <row r="83" spans="1:24" ht="11.25">
      <c r="A83" s="28"/>
      <c r="B83" s="28"/>
      <c r="C83" s="28"/>
      <c r="D83" s="28"/>
      <c r="E83" s="28"/>
      <c r="F83" s="28"/>
      <c r="G83" s="28"/>
      <c r="H83" s="28"/>
      <c r="I83" s="28"/>
      <c r="J83" s="28"/>
      <c r="K83" s="28"/>
      <c r="L83" s="28"/>
      <c r="M83" s="28"/>
      <c r="N83" s="28"/>
      <c r="O83" s="28"/>
      <c r="P83" s="28"/>
      <c r="Q83" s="28"/>
      <c r="R83" s="28"/>
      <c r="S83" s="28"/>
      <c r="T83" s="28"/>
      <c r="U83" s="28"/>
      <c r="V83" s="28"/>
      <c r="W83" s="28"/>
      <c r="X83" s="28"/>
    </row>
    <row r="84" spans="1:24" ht="11.25">
      <c r="A84" s="28"/>
      <c r="B84" s="28"/>
      <c r="C84" s="28"/>
      <c r="D84" s="28"/>
      <c r="E84" s="28"/>
      <c r="F84" s="28"/>
      <c r="G84" s="28"/>
      <c r="H84" s="28"/>
      <c r="I84" s="28"/>
      <c r="J84" s="28"/>
      <c r="K84" s="28"/>
      <c r="L84" s="28"/>
      <c r="M84" s="28"/>
      <c r="N84" s="28"/>
      <c r="O84" s="28"/>
      <c r="P84" s="28"/>
      <c r="Q84" s="28"/>
      <c r="R84" s="28"/>
      <c r="S84" s="28"/>
      <c r="T84" s="28"/>
      <c r="U84" s="28"/>
      <c r="V84" s="28"/>
      <c r="W84" s="28"/>
      <c r="X84" s="28"/>
    </row>
    <row r="85" spans="1:24" ht="11.25">
      <c r="A85" s="28"/>
      <c r="B85" s="28"/>
      <c r="C85" s="28"/>
      <c r="D85" s="28"/>
      <c r="E85" s="28"/>
      <c r="F85" s="28"/>
      <c r="G85" s="28"/>
      <c r="H85" s="28"/>
      <c r="I85" s="28"/>
      <c r="J85" s="28"/>
      <c r="K85" s="28"/>
      <c r="L85" s="28"/>
      <c r="M85" s="28"/>
      <c r="N85" s="28"/>
      <c r="O85" s="28"/>
      <c r="P85" s="28"/>
      <c r="Q85" s="28"/>
      <c r="R85" s="28"/>
      <c r="S85" s="28"/>
      <c r="T85" s="28"/>
      <c r="U85" s="28"/>
      <c r="V85" s="28"/>
      <c r="W85" s="28"/>
      <c r="X85" s="28"/>
    </row>
    <row r="86" spans="1:24" ht="11.25">
      <c r="A86" s="28"/>
      <c r="B86" s="28"/>
      <c r="C86" s="28"/>
      <c r="D86" s="28"/>
      <c r="E86" s="28"/>
      <c r="F86" s="28"/>
      <c r="G86" s="28"/>
      <c r="H86" s="28"/>
      <c r="I86" s="28"/>
      <c r="J86" s="28"/>
      <c r="K86" s="28"/>
      <c r="L86" s="28"/>
      <c r="M86" s="28"/>
      <c r="N86" s="28"/>
      <c r="O86" s="28"/>
      <c r="P86" s="28"/>
      <c r="Q86" s="28"/>
      <c r="R86" s="28"/>
      <c r="S86" s="28"/>
      <c r="T86" s="28"/>
      <c r="U86" s="28"/>
      <c r="V86" s="28"/>
      <c r="W86" s="28"/>
      <c r="X86" s="28"/>
    </row>
    <row r="87" spans="1:24" ht="11.25">
      <c r="A87" s="28"/>
      <c r="B87" s="28"/>
      <c r="C87" s="28"/>
      <c r="D87" s="28"/>
      <c r="E87" s="28"/>
      <c r="F87" s="28"/>
      <c r="G87" s="28"/>
      <c r="H87" s="28"/>
      <c r="I87" s="28"/>
      <c r="J87" s="28"/>
      <c r="K87" s="28"/>
      <c r="L87" s="28"/>
      <c r="M87" s="28"/>
      <c r="N87" s="28"/>
      <c r="O87" s="28"/>
      <c r="P87" s="28"/>
      <c r="Q87" s="28"/>
      <c r="R87" s="28"/>
      <c r="S87" s="28"/>
      <c r="T87" s="28"/>
      <c r="U87" s="28"/>
      <c r="V87" s="28"/>
      <c r="W87" s="28"/>
      <c r="X87" s="28"/>
    </row>
    <row r="88" spans="1:24" ht="11.25">
      <c r="A88" s="28"/>
      <c r="B88" s="28"/>
      <c r="C88" s="28"/>
      <c r="D88" s="28"/>
      <c r="E88" s="28"/>
      <c r="F88" s="28"/>
      <c r="G88" s="28"/>
      <c r="H88" s="28"/>
      <c r="I88" s="28"/>
      <c r="J88" s="28"/>
      <c r="K88" s="28"/>
      <c r="L88" s="28"/>
      <c r="M88" s="28"/>
      <c r="N88" s="28"/>
      <c r="O88" s="28"/>
      <c r="P88" s="28"/>
      <c r="Q88" s="28"/>
      <c r="R88" s="28"/>
      <c r="S88" s="28"/>
      <c r="T88" s="28"/>
      <c r="U88" s="28"/>
      <c r="V88" s="28"/>
      <c r="W88" s="28"/>
      <c r="X88" s="28"/>
    </row>
    <row r="89" spans="1:24" ht="11.25">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11.25">
      <c r="A90" s="28"/>
      <c r="B90" s="28"/>
      <c r="C90" s="28"/>
      <c r="D90" s="28"/>
      <c r="E90" s="28"/>
      <c r="F90" s="28"/>
      <c r="G90" s="28"/>
      <c r="H90" s="28"/>
      <c r="I90" s="28"/>
      <c r="J90" s="28"/>
      <c r="K90" s="28"/>
      <c r="L90" s="28"/>
      <c r="M90" s="28"/>
      <c r="N90" s="28"/>
      <c r="O90" s="28"/>
      <c r="P90" s="28"/>
      <c r="Q90" s="28"/>
      <c r="R90" s="28"/>
      <c r="S90" s="28"/>
      <c r="T90" s="28"/>
      <c r="U90" s="28"/>
      <c r="V90" s="28"/>
      <c r="W90" s="28"/>
      <c r="X90" s="28"/>
    </row>
    <row r="91" spans="1:24" ht="11.25">
      <c r="A91" s="28"/>
      <c r="B91" s="28"/>
      <c r="C91" s="28"/>
      <c r="D91" s="28"/>
      <c r="E91" s="28"/>
      <c r="F91" s="28"/>
      <c r="G91" s="28"/>
      <c r="H91" s="28"/>
      <c r="I91" s="28"/>
      <c r="J91" s="28"/>
      <c r="K91" s="28"/>
      <c r="L91" s="28"/>
      <c r="M91" s="28"/>
      <c r="N91" s="28"/>
      <c r="O91" s="28"/>
      <c r="P91" s="28"/>
      <c r="Q91" s="28"/>
      <c r="R91" s="28"/>
      <c r="S91" s="28"/>
      <c r="T91" s="28"/>
      <c r="U91" s="28"/>
      <c r="V91" s="28"/>
      <c r="W91" s="28"/>
      <c r="X91" s="28"/>
    </row>
    <row r="92" spans="1:24" ht="11.25">
      <c r="A92" s="28"/>
      <c r="B92" s="28"/>
      <c r="C92" s="28"/>
      <c r="D92" s="28"/>
      <c r="E92" s="28"/>
      <c r="F92" s="28"/>
      <c r="G92" s="28"/>
      <c r="H92" s="28"/>
      <c r="I92" s="28"/>
      <c r="J92" s="28"/>
      <c r="K92" s="28"/>
      <c r="L92" s="28"/>
      <c r="M92" s="28"/>
      <c r="N92" s="28"/>
      <c r="O92" s="28"/>
      <c r="P92" s="28"/>
      <c r="Q92" s="28"/>
      <c r="R92" s="28"/>
      <c r="S92" s="28"/>
      <c r="T92" s="28"/>
      <c r="U92" s="28"/>
      <c r="V92" s="28"/>
      <c r="W92" s="28"/>
      <c r="X92" s="28"/>
    </row>
    <row r="93" spans="1:24" ht="11.25">
      <c r="A93" s="28"/>
      <c r="B93" s="28"/>
      <c r="C93" s="28"/>
      <c r="D93" s="28"/>
      <c r="E93" s="28"/>
      <c r="F93" s="28"/>
      <c r="G93" s="28"/>
      <c r="H93" s="28"/>
      <c r="I93" s="28"/>
      <c r="J93" s="28"/>
      <c r="K93" s="28"/>
      <c r="L93" s="28"/>
      <c r="M93" s="28"/>
      <c r="N93" s="28"/>
      <c r="O93" s="28"/>
      <c r="P93" s="28"/>
      <c r="Q93" s="28"/>
      <c r="R93" s="28"/>
      <c r="S93" s="28"/>
      <c r="T93" s="28"/>
      <c r="U93" s="28"/>
      <c r="V93" s="28"/>
      <c r="W93" s="28"/>
      <c r="X93" s="28"/>
    </row>
    <row r="94" spans="1:24" ht="11.25">
      <c r="A94" s="28"/>
      <c r="B94" s="28"/>
      <c r="C94" s="28"/>
      <c r="D94" s="28"/>
      <c r="E94" s="28"/>
      <c r="F94" s="28"/>
      <c r="G94" s="28"/>
      <c r="H94" s="28"/>
      <c r="I94" s="28"/>
      <c r="J94" s="28"/>
      <c r="K94" s="28"/>
      <c r="L94" s="28"/>
      <c r="M94" s="28"/>
      <c r="N94" s="28"/>
      <c r="O94" s="28"/>
      <c r="P94" s="28"/>
      <c r="Q94" s="28"/>
      <c r="R94" s="28"/>
      <c r="S94" s="28"/>
      <c r="T94" s="28"/>
      <c r="U94" s="28"/>
      <c r="V94" s="28"/>
      <c r="W94" s="28"/>
      <c r="X94" s="28"/>
    </row>
    <row r="95" spans="1:24" ht="11.25">
      <c r="A95" s="28"/>
      <c r="B95" s="28"/>
      <c r="C95" s="28"/>
      <c r="D95" s="28"/>
      <c r="E95" s="28"/>
      <c r="F95" s="28"/>
      <c r="G95" s="28"/>
      <c r="H95" s="28"/>
      <c r="I95" s="28"/>
      <c r="J95" s="28"/>
      <c r="K95" s="28"/>
      <c r="L95" s="28"/>
      <c r="M95" s="28"/>
      <c r="N95" s="28"/>
      <c r="O95" s="28"/>
      <c r="P95" s="28"/>
      <c r="Q95" s="28"/>
      <c r="R95" s="28"/>
      <c r="S95" s="28"/>
      <c r="T95" s="28"/>
      <c r="U95" s="28"/>
      <c r="V95" s="28"/>
      <c r="W95" s="28"/>
      <c r="X95" s="28"/>
    </row>
    <row r="96" spans="1:24" ht="11.25">
      <c r="A96" s="28"/>
      <c r="B96" s="28"/>
      <c r="C96" s="28"/>
      <c r="D96" s="28"/>
      <c r="E96" s="28"/>
      <c r="F96" s="28"/>
      <c r="G96" s="28"/>
      <c r="H96" s="28"/>
      <c r="I96" s="28"/>
      <c r="J96" s="28"/>
      <c r="K96" s="28"/>
      <c r="L96" s="28"/>
      <c r="M96" s="28"/>
      <c r="N96" s="28"/>
      <c r="O96" s="28"/>
      <c r="P96" s="28"/>
      <c r="Q96" s="28"/>
      <c r="R96" s="28"/>
      <c r="S96" s="28"/>
      <c r="T96" s="28"/>
      <c r="U96" s="28"/>
      <c r="V96" s="28"/>
      <c r="W96" s="28"/>
      <c r="X96" s="28"/>
    </row>
    <row r="97" spans="1:24" ht="11.25">
      <c r="A97" s="28"/>
      <c r="B97" s="28"/>
      <c r="C97" s="28"/>
      <c r="D97" s="28"/>
      <c r="E97" s="28"/>
      <c r="F97" s="28"/>
      <c r="G97" s="28"/>
      <c r="H97" s="28"/>
      <c r="I97" s="28"/>
      <c r="J97" s="28"/>
      <c r="K97" s="28"/>
      <c r="L97" s="28"/>
      <c r="M97" s="28"/>
      <c r="N97" s="28"/>
      <c r="O97" s="28"/>
      <c r="P97" s="28"/>
      <c r="Q97" s="28"/>
      <c r="R97" s="28"/>
      <c r="S97" s="28"/>
      <c r="T97" s="28"/>
      <c r="U97" s="28"/>
      <c r="V97" s="28"/>
      <c r="W97" s="28"/>
      <c r="X97" s="28"/>
    </row>
    <row r="98" spans="1:24" ht="11.25">
      <c r="A98" s="28"/>
      <c r="B98" s="28"/>
      <c r="C98" s="28"/>
      <c r="D98" s="28"/>
      <c r="E98" s="28"/>
      <c r="F98" s="28"/>
      <c r="G98" s="28"/>
      <c r="H98" s="28"/>
      <c r="I98" s="28"/>
      <c r="J98" s="28"/>
      <c r="K98" s="28"/>
      <c r="L98" s="28"/>
      <c r="M98" s="28"/>
      <c r="N98" s="28"/>
      <c r="O98" s="28"/>
      <c r="P98" s="28"/>
      <c r="Q98" s="28"/>
      <c r="R98" s="28"/>
      <c r="S98" s="28"/>
      <c r="T98" s="28"/>
      <c r="U98" s="28"/>
      <c r="V98" s="28"/>
      <c r="W98" s="28"/>
      <c r="X98" s="28"/>
    </row>
    <row r="99" spans="1:24" ht="11.25">
      <c r="A99" s="28"/>
      <c r="B99" s="28"/>
      <c r="C99" s="28"/>
      <c r="D99" s="28"/>
      <c r="E99" s="28"/>
      <c r="F99" s="28"/>
      <c r="G99" s="28"/>
      <c r="H99" s="28"/>
      <c r="I99" s="28"/>
      <c r="J99" s="28"/>
      <c r="K99" s="28"/>
      <c r="L99" s="28"/>
      <c r="M99" s="28"/>
      <c r="N99" s="28"/>
      <c r="O99" s="28"/>
      <c r="P99" s="28"/>
      <c r="Q99" s="28"/>
      <c r="R99" s="28"/>
      <c r="S99" s="28"/>
      <c r="T99" s="28"/>
      <c r="U99" s="28"/>
      <c r="V99" s="28"/>
      <c r="W99" s="28"/>
      <c r="X99" s="28"/>
    </row>
    <row r="100" spans="1:24" ht="11.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row>
    <row r="101" spans="1:24" ht="11.2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row>
    <row r="102" spans="1:24" ht="11.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row>
    <row r="103" spans="1:24" ht="11.2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row>
    <row r="104" spans="1:24" ht="11.2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row>
    <row r="105" spans="1:24" ht="11.2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row>
    <row r="106" spans="1:24" ht="11.2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row>
    <row r="107" spans="1:24" ht="11.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row>
    <row r="108" spans="1:24" ht="11.2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row>
    <row r="109" spans="1:24" ht="11.2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row>
    <row r="110" spans="1:24" ht="11.2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row>
    <row r="111" spans="1:24" ht="11.2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row>
    <row r="112" spans="1:24" ht="11.2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row>
    <row r="113" spans="1:24" ht="11.2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row>
    <row r="114" spans="1:24" ht="11.2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row>
    <row r="115" spans="1:24" ht="11.2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row>
    <row r="116" spans="1:24" ht="11.2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row>
    <row r="117" spans="1:24" ht="11.2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row>
    <row r="118" spans="1:24" ht="11.2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row>
    <row r="119" spans="1:24" ht="11.2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row>
    <row r="120" spans="1:24" ht="11.2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spans="1:24" ht="11.2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row>
    <row r="122" spans="1:24" ht="11.2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row>
    <row r="123" spans="1:24" ht="11.2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row>
    <row r="124" spans="1:24" ht="11.2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row>
    <row r="125" spans="1:24" ht="11.2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row>
    <row r="126" spans="1:24" ht="11.2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row>
    <row r="127" spans="1:24" ht="11.2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row>
    <row r="128" spans="1:24" ht="11.2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row>
    <row r="129" spans="1:24" ht="11.2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row>
    <row r="130" spans="1:24" ht="11.2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row>
    <row r="131" spans="1:24" ht="11.2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row>
    <row r="132" spans="1:24" ht="11.2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row>
    <row r="133" spans="1:24" ht="11.2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row>
    <row r="134" spans="1:24" ht="11.2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spans="1:24" ht="11.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row>
    <row r="136" spans="1:24" ht="11.2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row>
    <row r="137" spans="1:24" ht="11.2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row>
    <row r="138" spans="1:24" ht="11.2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row>
    <row r="139" spans="1:24" ht="11.2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row>
    <row r="140" spans="1:24" ht="11.2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row>
    <row r="141" spans="1:24" ht="11.2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row>
    <row r="142" spans="1:24" ht="11.2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row>
    <row r="143" spans="1:24" ht="11.2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row>
    <row r="144" spans="1:24" ht="11.2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row>
    <row r="145" spans="1:24" ht="11.2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row>
    <row r="146" spans="1:24" ht="11.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row>
    <row r="147" spans="1:24" ht="11.2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row>
    <row r="148" spans="1:24" ht="11.2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row>
    <row r="149" spans="1:24" ht="11.2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row>
    <row r="150" spans="1:24" ht="11.2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row>
    <row r="151" spans="1:24" ht="11.2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row>
    <row r="152" spans="1:24" ht="11.2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row>
    <row r="153" spans="1:24" ht="11.2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row>
    <row r="154" spans="1:24" ht="11.2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row>
    <row r="155" spans="1:24" ht="11.2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row>
    <row r="156" spans="1:24" ht="11.2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row>
    <row r="157" spans="1:24" ht="11.2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row>
    <row r="158" spans="1:24" ht="11.2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row>
    <row r="159" spans="1:24" ht="11.2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row>
    <row r="160" spans="1:24" ht="11.2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row>
    <row r="161" spans="1:24" ht="11.2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row>
    <row r="162" spans="1:24" ht="11.2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row>
    <row r="163" spans="1:24" ht="11.2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row>
    <row r="164" spans="1:24" ht="11.2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row>
    <row r="165" spans="1:24" ht="11.2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row>
    <row r="166" spans="1:24" ht="11.2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row>
    <row r="167" spans="1:24" ht="11.2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row>
    <row r="168" spans="1:24" ht="11.2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row>
    <row r="169" spans="1:24" ht="11.2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row>
    <row r="170" spans="1:24" ht="11.2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row>
    <row r="171" spans="1:24" ht="11.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row>
    <row r="172" spans="1:24" ht="11.2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row>
    <row r="173" spans="1:24" ht="11.2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row>
    <row r="174" spans="1:24" ht="11.2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row>
    <row r="175" spans="1:24" ht="11.2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row>
    <row r="176" spans="1:24" ht="11.2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row>
    <row r="177" spans="1:24" ht="11.2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row>
    <row r="178" spans="1:24" ht="11.2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row>
    <row r="179" spans="1:24" ht="11.2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row>
    <row r="180" spans="1:24" ht="11.2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row>
    <row r="181" spans="1:24" ht="11.2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row>
    <row r="182" spans="1:24" ht="11.2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row>
    <row r="183" spans="1:24" ht="11.2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row>
    <row r="184" spans="1:24" ht="11.2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row>
    <row r="185" spans="1:24" ht="11.2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row>
    <row r="186" spans="1:24" ht="11.2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row>
    <row r="187" spans="1:24" ht="11.2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row>
    <row r="188" spans="1:24" ht="11.2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row>
    <row r="189" spans="1:24" ht="11.2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row>
    <row r="190" spans="1:24" ht="11.2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row>
    <row r="191" spans="1:24" ht="11.2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row>
    <row r="192" spans="1:24" ht="11.2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row>
    <row r="193" spans="1:24" ht="11.2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row>
    <row r="194" spans="1:24" ht="11.2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row>
    <row r="195" spans="1:24" ht="11.2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row>
    <row r="196" spans="1:24" ht="11.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row>
    <row r="197" spans="1:24" ht="11.2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row>
    <row r="198" spans="1:24" ht="11.2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row>
    <row r="199" spans="1:24" ht="11.2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row>
    <row r="200" spans="1:24" ht="11.2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row>
    <row r="201" spans="1:24" ht="11.2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row>
    <row r="202" spans="1:24" ht="11.2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row>
    <row r="203" spans="1:24" ht="11.2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row>
    <row r="204" spans="1:24" ht="11.2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row>
    <row r="205" spans="1:24" ht="11.2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row>
    <row r="206" spans="1:24" ht="11.2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row>
    <row r="207" spans="1:24" ht="11.2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row>
    <row r="208" spans="1:24" ht="11.2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row>
    <row r="209" spans="1:24" ht="11.2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row>
    <row r="210" spans="1:24" ht="11.2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row>
    <row r="211" spans="1:24" ht="11.2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row>
    <row r="212" spans="1:24" ht="11.2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row>
    <row r="213" spans="1:24" ht="11.2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row>
    <row r="214" spans="1:24" ht="11.2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row>
    <row r="215" spans="1:24" ht="11.2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row>
    <row r="216" spans="1:24" ht="11.2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row>
    <row r="217" spans="1:24" ht="11.2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row>
    <row r="218" spans="1:24" ht="11.2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row>
    <row r="219" spans="1:24" ht="11.2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row>
    <row r="220" spans="1:24" ht="11.2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row>
    <row r="221" spans="1:24" ht="11.2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row>
    <row r="222" spans="1:24" ht="11.2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row>
    <row r="223" spans="1:24" ht="11.2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row>
    <row r="224" spans="1:24" ht="11.2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row>
    <row r="225" spans="1:24" ht="11.2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row>
    <row r="226" spans="1:24" ht="11.2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row>
    <row r="227" spans="1:24" ht="11.2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row>
    <row r="228" spans="1:24" ht="11.2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row>
    <row r="229" spans="1:24" ht="11.2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row>
    <row r="230" spans="1:24" ht="11.2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row>
    <row r="231" spans="1:24" ht="11.2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row>
    <row r="232" spans="1:24" ht="11.2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row>
    <row r="233" spans="1:24" ht="11.2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row>
    <row r="234" spans="1:24" ht="11.2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row>
    <row r="235" spans="1:24" ht="11.2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row>
    <row r="236" spans="1:24" ht="11.2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row>
    <row r="237" spans="1:24" ht="11.2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row>
    <row r="238" spans="1:24" ht="11.2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row>
    <row r="239" spans="1:24" ht="11.2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row>
    <row r="240" spans="1:24" ht="11.2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row>
    <row r="241" spans="1:24" ht="11.2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row>
    <row r="242" spans="1:24" ht="11.2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row>
    <row r="243" spans="1:24" ht="11.2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row>
    <row r="244" spans="1:24" ht="11.2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row>
    <row r="245" spans="1:24" ht="11.2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row>
    <row r="246" spans="1:24" ht="11.2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row>
    <row r="247" spans="1:24" ht="11.2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row>
    <row r="248" spans="1:24" ht="11.2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row>
    <row r="249" spans="1:24" ht="11.2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row>
    <row r="250" spans="1:24" ht="11.2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row>
    <row r="251" spans="1:24" ht="11.2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row>
    <row r="252" spans="1:24" ht="11.2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row>
    <row r="253" spans="1:24" ht="11.2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row>
    <row r="254" spans="1:24" ht="11.2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row>
    <row r="255" spans="1:24" ht="11.2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row>
    <row r="256" spans="1:24" ht="11.2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row>
    <row r="257" spans="1:24" ht="11.2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row>
    <row r="258" spans="1:24" ht="11.2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row>
    <row r="259" spans="1:24" ht="11.2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row>
    <row r="260" spans="1:24" ht="11.2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row>
    <row r="261" spans="1:24" ht="11.2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row>
    <row r="262" spans="1:24" ht="11.2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row>
    <row r="263" spans="1:24" ht="11.2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row>
    <row r="264" spans="1:24" ht="11.2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row>
    <row r="265" spans="1:24" ht="11.2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row>
    <row r="266" spans="1:24" ht="11.2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row>
    <row r="267" spans="1:24" ht="11.2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row>
    <row r="268" spans="1:24" ht="11.2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row>
    <row r="269" spans="1:24" ht="11.2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row>
    <row r="270" spans="1:24" ht="11.2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row>
    <row r="271" spans="1:24" ht="11.2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row>
    <row r="272" spans="1:24" ht="11.2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row>
    <row r="273" spans="1:24" ht="11.2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row>
    <row r="274" spans="1:24" ht="11.2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row>
    <row r="275" spans="1:24" ht="11.2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row>
    <row r="276" spans="1:24" ht="11.2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row>
    <row r="277" spans="1:24" ht="11.2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row>
    <row r="278" spans="1:24" ht="11.2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row>
    <row r="279" spans="1:24" ht="11.2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row>
    <row r="280" spans="1:24" ht="11.2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row>
    <row r="281" spans="1:24" ht="11.2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row>
    <row r="282" spans="1:24" ht="11.2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row>
    <row r="283" spans="1:24" ht="11.2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row>
    <row r="284" spans="1:24" ht="11.2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row>
    <row r="285" spans="1:24" ht="11.2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row>
    <row r="286" spans="1:24" ht="11.2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row>
    <row r="287" spans="1:24" ht="11.2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row>
    <row r="288" spans="1:24" ht="11.2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row>
    <row r="289" spans="1:24" ht="11.2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row>
    <row r="290" spans="1:24" ht="11.2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row>
    <row r="291" spans="1:24" ht="11.2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row>
    <row r="292" spans="1:24" ht="11.2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row>
  </sheetData>
  <sheetProtection/>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codeName="Sheet14"/>
  <dimension ref="A1:B46"/>
  <sheetViews>
    <sheetView zoomScalePageLayoutView="0" workbookViewId="0" topLeftCell="A1">
      <selection activeCell="A2" sqref="A2"/>
    </sheetView>
  </sheetViews>
  <sheetFormatPr defaultColWidth="9.140625" defaultRowHeight="12.75"/>
  <cols>
    <col min="1" max="1" width="30.00390625" style="3" customWidth="1"/>
    <col min="2" max="2" width="55.28125" style="47" customWidth="1"/>
    <col min="3" max="16384" width="9.140625" style="3" customWidth="1"/>
  </cols>
  <sheetData>
    <row r="1" ht="15.75">
      <c r="A1" s="4" t="s">
        <v>319</v>
      </c>
    </row>
    <row r="2" spans="1:2" s="77" customFormat="1" ht="11.25">
      <c r="A2" s="137"/>
      <c r="B2" s="138"/>
    </row>
    <row r="3" spans="1:2" s="77" customFormat="1" ht="11.25">
      <c r="A3" s="137" t="s">
        <v>62</v>
      </c>
      <c r="B3" s="138"/>
    </row>
    <row r="4" s="77" customFormat="1" ht="11.25">
      <c r="B4" s="138"/>
    </row>
    <row r="5" spans="1:2" s="77" customFormat="1" ht="11.25">
      <c r="A5" s="77" t="s">
        <v>63</v>
      </c>
      <c r="B5" s="138" t="s">
        <v>64</v>
      </c>
    </row>
    <row r="6" spans="1:2" s="77" customFormat="1" ht="11.25">
      <c r="A6" s="77" t="s">
        <v>65</v>
      </c>
      <c r="B6" s="138" t="s">
        <v>66</v>
      </c>
    </row>
    <row r="7" spans="1:2" s="77" customFormat="1" ht="11.25">
      <c r="A7" s="77" t="s">
        <v>67</v>
      </c>
      <c r="B7" s="138" t="s">
        <v>68</v>
      </c>
    </row>
    <row r="8" spans="1:2" s="77" customFormat="1" ht="11.25">
      <c r="A8" s="77" t="s">
        <v>69</v>
      </c>
      <c r="B8" s="138">
        <v>4</v>
      </c>
    </row>
    <row r="9" s="77" customFormat="1" ht="11.25">
      <c r="B9" s="138"/>
    </row>
    <row r="10" spans="1:2" s="77" customFormat="1" ht="11.25">
      <c r="A10" s="137" t="s">
        <v>70</v>
      </c>
      <c r="B10" s="138"/>
    </row>
    <row r="11" s="77" customFormat="1" ht="11.25">
      <c r="B11" s="138"/>
    </row>
    <row r="12" spans="1:2" s="77" customFormat="1" ht="11.25">
      <c r="A12" s="77" t="s">
        <v>63</v>
      </c>
      <c r="B12" s="138" t="s">
        <v>71</v>
      </c>
    </row>
    <row r="13" spans="1:2" s="77" customFormat="1" ht="11.25">
      <c r="A13" s="77" t="s">
        <v>65</v>
      </c>
      <c r="B13" s="138" t="s">
        <v>72</v>
      </c>
    </row>
    <row r="14" spans="1:2" s="77" customFormat="1" ht="11.25">
      <c r="A14" s="77" t="s">
        <v>67</v>
      </c>
      <c r="B14" s="138" t="s">
        <v>68</v>
      </c>
    </row>
    <row r="15" spans="1:2" s="77" customFormat="1" ht="11.25">
      <c r="A15" s="77" t="s">
        <v>69</v>
      </c>
      <c r="B15" s="138">
        <v>3</v>
      </c>
    </row>
    <row r="16" s="77" customFormat="1" ht="11.25">
      <c r="B16" s="138"/>
    </row>
    <row r="17" spans="1:2" s="77" customFormat="1" ht="11.25">
      <c r="A17" s="137" t="s">
        <v>73</v>
      </c>
      <c r="B17" s="138"/>
    </row>
    <row r="18" s="77" customFormat="1" ht="11.25">
      <c r="B18" s="138"/>
    </row>
    <row r="19" spans="1:2" s="77" customFormat="1" ht="11.25">
      <c r="A19" s="77" t="s">
        <v>63</v>
      </c>
      <c r="B19" s="138" t="s">
        <v>74</v>
      </c>
    </row>
    <row r="20" spans="1:2" s="77" customFormat="1" ht="11.25">
      <c r="A20" s="77" t="s">
        <v>65</v>
      </c>
      <c r="B20" s="138" t="s">
        <v>75</v>
      </c>
    </row>
    <row r="21" spans="1:2" s="77" customFormat="1" ht="11.25">
      <c r="A21" s="77" t="s">
        <v>67</v>
      </c>
      <c r="B21" s="138" t="s">
        <v>68</v>
      </c>
    </row>
    <row r="22" spans="1:2" s="77" customFormat="1" ht="11.25">
      <c r="A22" s="77" t="s">
        <v>69</v>
      </c>
      <c r="B22" s="138">
        <v>3</v>
      </c>
    </row>
    <row r="23" s="77" customFormat="1" ht="11.25">
      <c r="B23" s="138"/>
    </row>
    <row r="24" spans="1:2" s="77" customFormat="1" ht="11.25">
      <c r="A24" s="137" t="s">
        <v>336</v>
      </c>
      <c r="B24" s="138"/>
    </row>
    <row r="25" s="77" customFormat="1" ht="11.25">
      <c r="B25" s="138"/>
    </row>
    <row r="26" spans="1:2" s="77" customFormat="1" ht="11.25">
      <c r="A26" s="77" t="s">
        <v>63</v>
      </c>
      <c r="B26" s="138" t="s">
        <v>76</v>
      </c>
    </row>
    <row r="27" spans="1:2" s="77" customFormat="1" ht="11.25">
      <c r="A27" s="77" t="s">
        <v>65</v>
      </c>
      <c r="B27" s="138" t="s">
        <v>75</v>
      </c>
    </row>
    <row r="28" spans="1:2" s="77" customFormat="1" ht="11.25">
      <c r="A28" s="77" t="s">
        <v>67</v>
      </c>
      <c r="B28" s="138" t="s">
        <v>68</v>
      </c>
    </row>
    <row r="29" spans="1:2" s="77" customFormat="1" ht="11.25">
      <c r="A29" s="77" t="s">
        <v>69</v>
      </c>
      <c r="B29" s="138">
        <v>3</v>
      </c>
    </row>
    <row r="30" s="77" customFormat="1" ht="11.25">
      <c r="B30" s="138"/>
    </row>
    <row r="31" spans="1:2" s="77" customFormat="1" ht="11.25">
      <c r="A31" s="137" t="s">
        <v>77</v>
      </c>
      <c r="B31" s="138"/>
    </row>
    <row r="32" s="77" customFormat="1" ht="11.25">
      <c r="B32" s="138"/>
    </row>
    <row r="33" spans="1:2" s="77" customFormat="1" ht="45">
      <c r="A33" s="139" t="s">
        <v>115</v>
      </c>
      <c r="B33" s="138" t="s">
        <v>335</v>
      </c>
    </row>
    <row r="34" spans="1:2" s="77" customFormat="1" ht="11.25">
      <c r="A34" s="77" t="s">
        <v>78</v>
      </c>
      <c r="B34" s="138" t="s">
        <v>112</v>
      </c>
    </row>
    <row r="35" spans="1:2" s="77" customFormat="1" ht="11.25">
      <c r="A35" s="77" t="s">
        <v>67</v>
      </c>
      <c r="B35" s="138" t="s">
        <v>79</v>
      </c>
    </row>
    <row r="36" spans="1:2" s="77" customFormat="1" ht="11.25">
      <c r="A36" s="77" t="s">
        <v>69</v>
      </c>
      <c r="B36" s="138">
        <v>1</v>
      </c>
    </row>
    <row r="37" s="77" customFormat="1" ht="11.25">
      <c r="B37" s="138"/>
    </row>
    <row r="38" spans="1:2" s="77" customFormat="1" ht="11.25">
      <c r="A38" s="137" t="s">
        <v>80</v>
      </c>
      <c r="B38" s="138"/>
    </row>
    <row r="39" spans="1:2" s="77" customFormat="1" ht="11.25">
      <c r="A39" s="137"/>
      <c r="B39" s="138"/>
    </row>
    <row r="40" spans="1:2" s="77" customFormat="1" ht="11.25">
      <c r="A40" s="77" t="s">
        <v>81</v>
      </c>
      <c r="B40" s="138"/>
    </row>
    <row r="41" spans="1:2" s="77" customFormat="1" ht="11.25">
      <c r="A41" s="77" t="s">
        <v>82</v>
      </c>
      <c r="B41" s="138"/>
    </row>
    <row r="42" spans="1:2" s="77" customFormat="1" ht="11.25">
      <c r="A42" s="77" t="s">
        <v>83</v>
      </c>
      <c r="B42" s="138"/>
    </row>
    <row r="44" ht="12.75">
      <c r="A44" s="3" t="s">
        <v>533</v>
      </c>
    </row>
    <row r="45" ht="12.75">
      <c r="A45" s="3" t="s">
        <v>534</v>
      </c>
    </row>
    <row r="46" ht="12.75">
      <c r="A46" s="3" t="s">
        <v>535</v>
      </c>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Sheet15"/>
  <dimension ref="A1:V128"/>
  <sheetViews>
    <sheetView zoomScalePageLayoutView="0" workbookViewId="0" topLeftCell="A1">
      <selection activeCell="A2" sqref="A1:IV16384"/>
    </sheetView>
  </sheetViews>
  <sheetFormatPr defaultColWidth="9.140625" defaultRowHeight="12.75"/>
  <cols>
    <col min="1" max="1" width="8.28125" style="145" customWidth="1"/>
    <col min="2" max="2" width="9.140625" style="145" customWidth="1"/>
    <col min="3" max="4" width="3.28125" style="145" customWidth="1"/>
    <col min="5" max="5" width="8.7109375" style="145" customWidth="1"/>
    <col min="6" max="11" width="3.28125" style="145" customWidth="1"/>
    <col min="12" max="13" width="9.140625" style="145" customWidth="1"/>
    <col min="14" max="15" width="3.28125" style="145" customWidth="1"/>
    <col min="16" max="16" width="8.421875" style="145" customWidth="1"/>
    <col min="17" max="22" width="3.7109375" style="145" customWidth="1"/>
    <col min="23" max="16384" width="9.140625" style="145" customWidth="1"/>
  </cols>
  <sheetData>
    <row r="1" ht="12.75">
      <c r="A1" s="145" t="s">
        <v>21</v>
      </c>
    </row>
    <row r="2" ht="12.75">
      <c r="A2" s="145" t="s">
        <v>22</v>
      </c>
    </row>
    <row r="4" ht="12.75">
      <c r="A4" s="7" t="s">
        <v>23</v>
      </c>
    </row>
    <row r="6" ht="12.75">
      <c r="A6" s="145" t="s">
        <v>24</v>
      </c>
    </row>
    <row r="7" ht="12.75">
      <c r="A7" s="145" t="s">
        <v>25</v>
      </c>
    </row>
    <row r="8" ht="12.75">
      <c r="A8" s="145" t="s">
        <v>495</v>
      </c>
    </row>
    <row r="10" ht="12.75">
      <c r="A10" s="7" t="s">
        <v>493</v>
      </c>
    </row>
    <row r="12" ht="12.75">
      <c r="A12" s="145" t="s">
        <v>12</v>
      </c>
    </row>
    <row r="13" ht="12.75">
      <c r="A13" s="145" t="s">
        <v>13</v>
      </c>
    </row>
    <row r="14" ht="12.75">
      <c r="A14" s="145" t="s">
        <v>14</v>
      </c>
    </row>
    <row r="15" ht="12.75">
      <c r="A15" s="145" t="s">
        <v>494</v>
      </c>
    </row>
    <row r="16" ht="12.75">
      <c r="A16" s="145" t="s">
        <v>16</v>
      </c>
    </row>
    <row r="18" ht="12.75">
      <c r="A18" s="7" t="s">
        <v>492</v>
      </c>
    </row>
    <row r="19" ht="12.75">
      <c r="A19" s="7"/>
    </row>
    <row r="20" ht="12.75">
      <c r="A20" s="145" t="s">
        <v>498</v>
      </c>
    </row>
    <row r="21" ht="12.75">
      <c r="A21" s="145" t="s">
        <v>497</v>
      </c>
    </row>
    <row r="22" ht="12.75">
      <c r="A22" s="145" t="s">
        <v>496</v>
      </c>
    </row>
    <row r="24" ht="12.75">
      <c r="A24" s="7" t="s">
        <v>485</v>
      </c>
    </row>
    <row r="25" ht="12.75">
      <c r="A25" s="7"/>
    </row>
    <row r="26" ht="12.75">
      <c r="A26" s="145" t="s">
        <v>486</v>
      </c>
    </row>
    <row r="27" ht="12.75">
      <c r="A27" s="145" t="s">
        <v>467</v>
      </c>
    </row>
    <row r="28" ht="12.75">
      <c r="A28" s="7"/>
    </row>
    <row r="29" ht="12.75">
      <c r="A29" s="145" t="s">
        <v>479</v>
      </c>
    </row>
    <row r="30" ht="12.75">
      <c r="A30" s="145" t="s">
        <v>480</v>
      </c>
    </row>
    <row r="31" ht="12.75">
      <c r="A31" s="145" t="s">
        <v>481</v>
      </c>
    </row>
    <row r="32" ht="12.75">
      <c r="A32" s="145" t="s">
        <v>483</v>
      </c>
    </row>
    <row r="33" ht="12.75">
      <c r="A33" s="145" t="s">
        <v>482</v>
      </c>
    </row>
    <row r="34" ht="12.75">
      <c r="A34" s="145" t="s">
        <v>468</v>
      </c>
    </row>
    <row r="36" ht="12.75">
      <c r="A36" s="145" t="s">
        <v>469</v>
      </c>
    </row>
    <row r="37" ht="12.75">
      <c r="A37" s="145" t="s">
        <v>491</v>
      </c>
    </row>
    <row r="39" spans="2:5" ht="12.75">
      <c r="B39" s="191" t="s">
        <v>156</v>
      </c>
      <c r="E39" s="191" t="s">
        <v>488</v>
      </c>
    </row>
    <row r="40" spans="2:5" ht="12.75">
      <c r="B40" s="145">
        <v>21</v>
      </c>
      <c r="E40" s="190">
        <f>59-2*LOG(B40-19)</f>
        <v>58.39794000867204</v>
      </c>
    </row>
    <row r="41" spans="2:5" ht="12.75">
      <c r="B41" s="145">
        <v>22</v>
      </c>
      <c r="E41" s="190">
        <f aca="true" t="shared" si="0" ref="E41:E49">59-2*LOG(B41-19)</f>
        <v>58.045757490560675</v>
      </c>
    </row>
    <row r="42" spans="2:5" ht="12.75">
      <c r="B42" s="145">
        <v>23</v>
      </c>
      <c r="E42" s="190">
        <f t="shared" si="0"/>
        <v>57.795880017344075</v>
      </c>
    </row>
    <row r="43" spans="2:5" ht="12.75">
      <c r="B43" s="145">
        <v>24</v>
      </c>
      <c r="E43" s="190">
        <f t="shared" si="0"/>
        <v>57.60205999132796</v>
      </c>
    </row>
    <row r="44" spans="2:5" ht="12.75">
      <c r="B44" s="145">
        <v>25</v>
      </c>
      <c r="E44" s="190">
        <f t="shared" si="0"/>
        <v>57.44369749923271</v>
      </c>
    </row>
    <row r="45" spans="2:5" ht="12.75">
      <c r="B45" s="145">
        <v>30</v>
      </c>
      <c r="E45" s="190">
        <f t="shared" si="0"/>
        <v>56.91721462968355</v>
      </c>
    </row>
    <row r="46" spans="2:5" ht="12.75">
      <c r="B46" s="145">
        <v>40</v>
      </c>
      <c r="E46" s="190">
        <f t="shared" si="0"/>
        <v>56.35556141053216</v>
      </c>
    </row>
    <row r="47" spans="2:5" ht="12.75">
      <c r="B47" s="145">
        <v>50</v>
      </c>
      <c r="E47" s="190">
        <f t="shared" si="0"/>
        <v>56.01727661233146</v>
      </c>
    </row>
    <row r="48" spans="2:5" ht="12.75">
      <c r="B48" s="145">
        <v>100</v>
      </c>
      <c r="E48" s="190">
        <f t="shared" si="0"/>
        <v>55.1830299622427</v>
      </c>
    </row>
    <row r="49" spans="2:5" ht="12.75">
      <c r="B49" s="145">
        <v>200</v>
      </c>
      <c r="E49" s="190">
        <f t="shared" si="0"/>
        <v>54.48464285026163</v>
      </c>
    </row>
    <row r="50" ht="12.75">
      <c r="E50" s="190"/>
    </row>
    <row r="51" spans="1:5" ht="12.75">
      <c r="A51" s="145" t="s">
        <v>490</v>
      </c>
      <c r="E51" s="190"/>
    </row>
    <row r="52" ht="12.75">
      <c r="A52" s="145" t="s">
        <v>489</v>
      </c>
    </row>
    <row r="53" ht="12.75">
      <c r="A53" s="145" t="s">
        <v>470</v>
      </c>
    </row>
    <row r="54" ht="12.75">
      <c r="A54" s="145" t="s">
        <v>471</v>
      </c>
    </row>
    <row r="55" ht="12.75">
      <c r="A55" s="145" t="s">
        <v>472</v>
      </c>
    </row>
    <row r="56" ht="12.75">
      <c r="A56" s="7"/>
    </row>
    <row r="57" ht="12.75">
      <c r="A57" s="145" t="s">
        <v>473</v>
      </c>
    </row>
    <row r="58" ht="12.75">
      <c r="A58" s="145" t="s">
        <v>474</v>
      </c>
    </row>
    <row r="59" ht="12.75">
      <c r="A59" s="145" t="s">
        <v>478</v>
      </c>
    </row>
    <row r="60" ht="12.75">
      <c r="A60" s="145" t="s">
        <v>475</v>
      </c>
    </row>
    <row r="61" ht="12.75">
      <c r="A61" s="7"/>
    </row>
    <row r="62" ht="12.75">
      <c r="A62" s="7" t="s">
        <v>484</v>
      </c>
    </row>
    <row r="63" ht="12.75">
      <c r="A63" s="7"/>
    </row>
    <row r="64" ht="12.75">
      <c r="A64" s="145" t="s">
        <v>31</v>
      </c>
    </row>
    <row r="65" ht="12.75">
      <c r="A65" s="7"/>
    </row>
    <row r="66" ht="12.75">
      <c r="A66" s="145" t="s">
        <v>26</v>
      </c>
    </row>
    <row r="67" ht="12.75">
      <c r="A67" s="145" t="s">
        <v>27</v>
      </c>
    </row>
    <row r="68" ht="12.75">
      <c r="A68" s="145" t="s">
        <v>28</v>
      </c>
    </row>
    <row r="69" ht="12.75">
      <c r="A69" s="145" t="s">
        <v>29</v>
      </c>
    </row>
    <row r="70" ht="12.75">
      <c r="A70" s="145" t="s">
        <v>30</v>
      </c>
    </row>
    <row r="71" ht="12.75">
      <c r="A71" s="145" t="s">
        <v>476</v>
      </c>
    </row>
    <row r="73" ht="12.75">
      <c r="A73" s="145" t="s">
        <v>32</v>
      </c>
    </row>
    <row r="75" spans="2:13" ht="12.75">
      <c r="B75" s="145" t="s">
        <v>33</v>
      </c>
      <c r="M75" s="145" t="s">
        <v>34</v>
      </c>
    </row>
    <row r="76" ht="13.5" thickBot="1"/>
    <row r="77" spans="2:22" ht="13.5" thickBot="1">
      <c r="B77" s="173" t="s">
        <v>35</v>
      </c>
      <c r="C77" s="174">
        <f>COUNTIF(E77:K77,"&gt;0")</f>
        <v>6</v>
      </c>
      <c r="D77" s="175"/>
      <c r="E77" s="176" t="s">
        <v>3</v>
      </c>
      <c r="F77" s="9">
        <f aca="true" t="shared" si="1" ref="F77:K77">COUNTA(F79:F82)</f>
        <v>2</v>
      </c>
      <c r="G77" s="9">
        <f t="shared" si="1"/>
        <v>2</v>
      </c>
      <c r="H77" s="9">
        <f t="shared" si="1"/>
        <v>2</v>
      </c>
      <c r="I77" s="9">
        <f t="shared" si="1"/>
        <v>3</v>
      </c>
      <c r="J77" s="9">
        <f t="shared" si="1"/>
        <v>3</v>
      </c>
      <c r="K77" s="10">
        <f t="shared" si="1"/>
        <v>3</v>
      </c>
      <c r="M77" s="173" t="s">
        <v>36</v>
      </c>
      <c r="N77" s="174">
        <f>COUNTIF(P77:V77,"&gt;0")</f>
        <v>6</v>
      </c>
      <c r="O77" s="175"/>
      <c r="P77" s="176" t="s">
        <v>3</v>
      </c>
      <c r="Q77" s="9">
        <f aca="true" t="shared" si="2" ref="Q77:V77">COUNTA(Q79:Q82)</f>
        <v>2</v>
      </c>
      <c r="R77" s="9">
        <f t="shared" si="2"/>
        <v>2</v>
      </c>
      <c r="S77" s="9">
        <f t="shared" si="2"/>
        <v>2</v>
      </c>
      <c r="T77" s="9">
        <f t="shared" si="2"/>
        <v>3</v>
      </c>
      <c r="U77" s="9">
        <f t="shared" si="2"/>
        <v>3</v>
      </c>
      <c r="V77" s="10">
        <f t="shared" si="2"/>
        <v>3</v>
      </c>
    </row>
    <row r="78" spans="2:22" ht="44.25" thickBot="1">
      <c r="B78" s="177"/>
      <c r="C78" s="178" t="s">
        <v>4</v>
      </c>
      <c r="D78" s="178" t="s">
        <v>5</v>
      </c>
      <c r="E78" s="179" t="s">
        <v>6</v>
      </c>
      <c r="F78" s="5"/>
      <c r="G78" s="6"/>
      <c r="H78" s="6"/>
      <c r="I78" s="6"/>
      <c r="J78" s="6"/>
      <c r="K78" s="8"/>
      <c r="M78" s="177"/>
      <c r="N78" s="178" t="s">
        <v>4</v>
      </c>
      <c r="O78" s="178" t="s">
        <v>5</v>
      </c>
      <c r="P78" s="179" t="s">
        <v>6</v>
      </c>
      <c r="Q78" s="5"/>
      <c r="R78" s="6"/>
      <c r="S78" s="6"/>
      <c r="T78" s="6"/>
      <c r="U78" s="6"/>
      <c r="V78" s="8"/>
    </row>
    <row r="79" spans="2:22" ht="12.75">
      <c r="B79" s="1" t="s">
        <v>37</v>
      </c>
      <c r="C79" s="180">
        <f>COUNTA(F79:K79)</f>
        <v>6</v>
      </c>
      <c r="D79" s="181">
        <f>INT(COUNT(F79:K79)/10)</f>
        <v>0</v>
      </c>
      <c r="E79" s="182">
        <f>C_S_G(F79:K79,F77:K77,LISYRA_table,C77,D79)</f>
        <v>1</v>
      </c>
      <c r="F79" s="12">
        <v>1</v>
      </c>
      <c r="G79" s="13">
        <v>1</v>
      </c>
      <c r="H79" s="13">
        <v>1</v>
      </c>
      <c r="I79" s="13">
        <v>1</v>
      </c>
      <c r="J79" s="13">
        <v>1</v>
      </c>
      <c r="K79" s="20">
        <v>1</v>
      </c>
      <c r="M79" s="1" t="s">
        <v>37</v>
      </c>
      <c r="N79" s="180">
        <f>COUNTA(Q79:V79)</f>
        <v>6</v>
      </c>
      <c r="O79" s="181">
        <f>INT(COUNT(Q79:V79)/10)</f>
        <v>0</v>
      </c>
      <c r="P79" s="182">
        <f>C_S_G(Q79:V79,Q77:V77,csg_table,N77,O79)</f>
        <v>1</v>
      </c>
      <c r="Q79" s="12">
        <v>1</v>
      </c>
      <c r="R79" s="13">
        <v>1</v>
      </c>
      <c r="S79" s="13">
        <v>1</v>
      </c>
      <c r="T79" s="13">
        <v>1</v>
      </c>
      <c r="U79" s="13">
        <v>1</v>
      </c>
      <c r="V79" s="20">
        <v>1</v>
      </c>
    </row>
    <row r="80" spans="2:22" ht="12.75">
      <c r="B80" s="1" t="s">
        <v>38</v>
      </c>
      <c r="C80" s="183">
        <f>COUNTA(F80:K80)</f>
        <v>3</v>
      </c>
      <c r="D80" s="184">
        <f>INT(COUNT(F80:K80)/10)</f>
        <v>0</v>
      </c>
      <c r="E80" s="185">
        <f>C_S_G(F80:K80,F77:K77,LISYRA_table,C77,D80)</f>
        <v>0.4</v>
      </c>
      <c r="F80" s="14">
        <v>2</v>
      </c>
      <c r="G80" s="15">
        <v>2</v>
      </c>
      <c r="H80" s="15">
        <v>2</v>
      </c>
      <c r="I80" s="15"/>
      <c r="J80" s="15"/>
      <c r="K80" s="16"/>
      <c r="M80" s="1" t="s">
        <v>38</v>
      </c>
      <c r="N80" s="183">
        <f>COUNTA(Q80:V80)</f>
        <v>3</v>
      </c>
      <c r="O80" s="184">
        <f>INT(COUNT(Q80:V80)/10)</f>
        <v>0</v>
      </c>
      <c r="P80" s="185">
        <f>C_S_G(Q80:V80,Q77:V77,csg_table,N77,O80)</f>
        <v>0.7</v>
      </c>
      <c r="Q80" s="14">
        <v>2</v>
      </c>
      <c r="R80" s="15">
        <v>2</v>
      </c>
      <c r="S80" s="15">
        <v>2</v>
      </c>
      <c r="T80" s="15"/>
      <c r="U80" s="15"/>
      <c r="V80" s="16"/>
    </row>
    <row r="81" spans="2:22" ht="12.75">
      <c r="B81" s="1" t="s">
        <v>39</v>
      </c>
      <c r="C81" s="183">
        <f>COUNTA(F81:K81)</f>
        <v>3</v>
      </c>
      <c r="D81" s="184">
        <f>INT(COUNT(F81:K81)/10)</f>
        <v>0</v>
      </c>
      <c r="E81" s="185">
        <f>C_S_G(F81:K81,F77:K77,LISYRA_table,C77,D81)</f>
        <v>0.8064516129032258</v>
      </c>
      <c r="F81" s="14"/>
      <c r="G81" s="15"/>
      <c r="H81" s="15"/>
      <c r="I81" s="15">
        <v>2</v>
      </c>
      <c r="J81" s="15">
        <v>2</v>
      </c>
      <c r="K81" s="16">
        <v>2</v>
      </c>
      <c r="M81" s="1" t="s">
        <v>39</v>
      </c>
      <c r="N81" s="183">
        <f>COUNTA(Q81:V81)</f>
        <v>3</v>
      </c>
      <c r="O81" s="184">
        <f>INT(COUNT(Q81:V81)/10)</f>
        <v>0</v>
      </c>
      <c r="P81" s="185">
        <f>C_S_G(Q81:V81,Q77:V77,csg_table,N77,O81)</f>
        <v>0.8064516129032258</v>
      </c>
      <c r="Q81" s="14"/>
      <c r="R81" s="15"/>
      <c r="S81" s="15"/>
      <c r="T81" s="15">
        <v>2</v>
      </c>
      <c r="U81" s="15">
        <v>2</v>
      </c>
      <c r="V81" s="16">
        <v>2</v>
      </c>
    </row>
    <row r="82" spans="2:22" ht="13.5" thickBot="1">
      <c r="B82" s="2" t="s">
        <v>40</v>
      </c>
      <c r="C82" s="186">
        <f>COUNTA(F82:K82)</f>
        <v>3</v>
      </c>
      <c r="D82" s="187">
        <f>INT(COUNT(F82:K82)/10)</f>
        <v>0</v>
      </c>
      <c r="E82" s="188">
        <f>C_S_G(F82:K82,F77:K77,LISYRA_table,C77,D82)</f>
        <v>0.6774193548387096</v>
      </c>
      <c r="F82" s="17"/>
      <c r="G82" s="18"/>
      <c r="H82" s="18"/>
      <c r="I82" s="18">
        <v>3</v>
      </c>
      <c r="J82" s="18">
        <v>3</v>
      </c>
      <c r="K82" s="19">
        <v>3</v>
      </c>
      <c r="M82" s="2" t="s">
        <v>40</v>
      </c>
      <c r="N82" s="186">
        <f>COUNTA(Q82:V82)</f>
        <v>3</v>
      </c>
      <c r="O82" s="187">
        <f>INT(COUNT(Q82:V82)/10)</f>
        <v>0</v>
      </c>
      <c r="P82" s="188">
        <f>C_S_G(Q82:V82,Q77:V77,csg_table,N77,O82)</f>
        <v>0.6774193548387096</v>
      </c>
      <c r="Q82" s="17"/>
      <c r="R82" s="18"/>
      <c r="S82" s="18"/>
      <c r="T82" s="18">
        <v>3</v>
      </c>
      <c r="U82" s="18">
        <v>3</v>
      </c>
      <c r="V82" s="19">
        <v>3</v>
      </c>
    </row>
    <row r="84" ht="12.75">
      <c r="A84" s="145" t="s">
        <v>41</v>
      </c>
    </row>
    <row r="85" ht="12.75">
      <c r="A85" s="145" t="s">
        <v>42</v>
      </c>
    </row>
    <row r="86" ht="12.75">
      <c r="A86" s="145" t="s">
        <v>43</v>
      </c>
    </row>
    <row r="87" spans="1:17" ht="12.75">
      <c r="A87" s="145" t="s">
        <v>44</v>
      </c>
      <c r="Q87" s="145" t="s">
        <v>7</v>
      </c>
    </row>
    <row r="88" ht="12.75">
      <c r="A88" s="145" t="s">
        <v>45</v>
      </c>
    </row>
    <row r="89" ht="12.75">
      <c r="A89" s="145" t="s">
        <v>46</v>
      </c>
    </row>
    <row r="90" ht="12.75">
      <c r="A90" s="145" t="s">
        <v>47</v>
      </c>
    </row>
    <row r="91" ht="12.75">
      <c r="A91" s="145" t="s">
        <v>48</v>
      </c>
    </row>
    <row r="93" ht="12.75">
      <c r="A93" s="145" t="s">
        <v>49</v>
      </c>
    </row>
    <row r="95" spans="2:13" ht="12.75">
      <c r="B95" s="145" t="s">
        <v>33</v>
      </c>
      <c r="M95" s="145" t="s">
        <v>34</v>
      </c>
    </row>
    <row r="96" ht="13.5" thickBot="1"/>
    <row r="97" spans="2:22" ht="13.5" thickBot="1">
      <c r="B97" s="173" t="s">
        <v>50</v>
      </c>
      <c r="C97" s="174">
        <f>COUNTIF(E97:K97,"&gt;0")</f>
        <v>6</v>
      </c>
      <c r="D97" s="175"/>
      <c r="E97" s="176" t="s">
        <v>3</v>
      </c>
      <c r="F97" s="9">
        <f aca="true" t="shared" si="3" ref="F97:K97">COUNTA(F99:F102)</f>
        <v>2</v>
      </c>
      <c r="G97" s="9">
        <f t="shared" si="3"/>
        <v>2</v>
      </c>
      <c r="H97" s="9">
        <f t="shared" si="3"/>
        <v>2</v>
      </c>
      <c r="I97" s="9">
        <f t="shared" si="3"/>
        <v>4</v>
      </c>
      <c r="J97" s="9">
        <f t="shared" si="3"/>
        <v>3</v>
      </c>
      <c r="K97" s="10">
        <f t="shared" si="3"/>
        <v>3</v>
      </c>
      <c r="M97" s="189"/>
      <c r="N97" s="174">
        <f>COUNTIF(P97:V97,"&gt;0")</f>
        <v>6</v>
      </c>
      <c r="O97" s="175"/>
      <c r="P97" s="176" t="s">
        <v>3</v>
      </c>
      <c r="Q97" s="9">
        <f aca="true" t="shared" si="4" ref="Q97:V97">COUNTA(Q99:Q102)</f>
        <v>2</v>
      </c>
      <c r="R97" s="9">
        <f t="shared" si="4"/>
        <v>2</v>
      </c>
      <c r="S97" s="9">
        <f t="shared" si="4"/>
        <v>2</v>
      </c>
      <c r="T97" s="9">
        <f t="shared" si="4"/>
        <v>4</v>
      </c>
      <c r="U97" s="9">
        <f t="shared" si="4"/>
        <v>3</v>
      </c>
      <c r="V97" s="10">
        <f t="shared" si="4"/>
        <v>3</v>
      </c>
    </row>
    <row r="98" spans="2:22" ht="44.25" thickBot="1">
      <c r="B98" s="177"/>
      <c r="C98" s="178" t="s">
        <v>4</v>
      </c>
      <c r="D98" s="178" t="s">
        <v>5</v>
      </c>
      <c r="E98" s="179" t="s">
        <v>6</v>
      </c>
      <c r="F98" s="5"/>
      <c r="G98" s="6"/>
      <c r="H98" s="6"/>
      <c r="I98" s="6"/>
      <c r="J98" s="6"/>
      <c r="K98" s="8"/>
      <c r="M98" s="177"/>
      <c r="N98" s="178" t="s">
        <v>4</v>
      </c>
      <c r="O98" s="178" t="s">
        <v>5</v>
      </c>
      <c r="P98" s="179" t="s">
        <v>6</v>
      </c>
      <c r="Q98" s="5"/>
      <c r="R98" s="6"/>
      <c r="S98" s="6"/>
      <c r="T98" s="6"/>
      <c r="U98" s="6"/>
      <c r="V98" s="8"/>
    </row>
    <row r="99" spans="2:22" ht="12.75">
      <c r="B99" s="1" t="s">
        <v>37</v>
      </c>
      <c r="C99" s="180">
        <f>COUNTA(F99:K99)</f>
        <v>6</v>
      </c>
      <c r="D99" s="181">
        <f>INT(COUNT(F99:K99)/10)</f>
        <v>0</v>
      </c>
      <c r="E99" s="182">
        <f>C_S_G(F99:K99,F97:K97,LISYRA_table,C97,D99)</f>
        <v>1</v>
      </c>
      <c r="F99" s="12">
        <v>1</v>
      </c>
      <c r="G99" s="13">
        <v>1</v>
      </c>
      <c r="H99" s="13">
        <v>1</v>
      </c>
      <c r="I99" s="13">
        <v>1</v>
      </c>
      <c r="J99" s="13">
        <v>1</v>
      </c>
      <c r="K99" s="20">
        <v>1</v>
      </c>
      <c r="M99" s="1" t="s">
        <v>37</v>
      </c>
      <c r="N99" s="180">
        <f>COUNTA(Q99:V99)</f>
        <v>6</v>
      </c>
      <c r="O99" s="181">
        <f>INT(COUNT(Q99:V99)/10)</f>
        <v>0</v>
      </c>
      <c r="P99" s="182">
        <f>C_S_G(Q99:V99,Q97:V97,csg_table,N97,O99)</f>
        <v>1</v>
      </c>
      <c r="Q99" s="12">
        <v>1</v>
      </c>
      <c r="R99" s="13">
        <v>1</v>
      </c>
      <c r="S99" s="13">
        <v>1</v>
      </c>
      <c r="T99" s="13">
        <v>1</v>
      </c>
      <c r="U99" s="13">
        <v>1</v>
      </c>
      <c r="V99" s="20">
        <v>1</v>
      </c>
    </row>
    <row r="100" spans="2:22" ht="12.75">
      <c r="B100" s="1" t="s">
        <v>38</v>
      </c>
      <c r="C100" s="183">
        <f>COUNTA(F100:K100)</f>
        <v>4</v>
      </c>
      <c r="D100" s="184">
        <f>INT(COUNT(F100:K100)/10)</f>
        <v>0</v>
      </c>
      <c r="E100" s="185">
        <f>C_S_G(F100:K100,F97:K97,LISYRA_table,C97,D100)</f>
        <v>0.6712328767123288</v>
      </c>
      <c r="F100" s="14">
        <v>2</v>
      </c>
      <c r="G100" s="15">
        <v>2</v>
      </c>
      <c r="H100" s="15">
        <v>2</v>
      </c>
      <c r="I100" s="15">
        <v>2</v>
      </c>
      <c r="J100" s="15"/>
      <c r="K100" s="16"/>
      <c r="M100" s="1" t="s">
        <v>38</v>
      </c>
      <c r="N100" s="183">
        <f>COUNTA(Q100:V100)</f>
        <v>4</v>
      </c>
      <c r="O100" s="184">
        <f>INT(COUNT(Q100:V100)/10)</f>
        <v>0</v>
      </c>
      <c r="P100" s="185">
        <f>C_S_G(Q100:V100,Q97:V97,csg_table,N97,O100)</f>
        <v>0.7945205479452054</v>
      </c>
      <c r="Q100" s="14">
        <v>2</v>
      </c>
      <c r="R100" s="15">
        <v>2</v>
      </c>
      <c r="S100" s="15">
        <v>2</v>
      </c>
      <c r="T100" s="15">
        <v>2</v>
      </c>
      <c r="U100" s="15"/>
      <c r="V100" s="16"/>
    </row>
    <row r="101" spans="2:22" ht="12.75">
      <c r="B101" s="1" t="s">
        <v>39</v>
      </c>
      <c r="C101" s="183">
        <f>COUNTA(F101:K101)</f>
        <v>3</v>
      </c>
      <c r="D101" s="184">
        <f>INT(COUNT(F101:K101)/10)</f>
        <v>0</v>
      </c>
      <c r="E101" s="185">
        <f>C_S_G(F101:K101,F97:K97,LISYRA_table,C97,D101)</f>
        <v>0.7904761904761904</v>
      </c>
      <c r="F101" s="14"/>
      <c r="G101" s="15"/>
      <c r="H101" s="15"/>
      <c r="I101" s="15">
        <v>3</v>
      </c>
      <c r="J101" s="15">
        <v>2</v>
      </c>
      <c r="K101" s="16">
        <v>2</v>
      </c>
      <c r="M101" s="1" t="s">
        <v>39</v>
      </c>
      <c r="N101" s="183">
        <f>COUNTA(Q101:V101)</f>
        <v>3</v>
      </c>
      <c r="O101" s="184">
        <f>INT(COUNT(Q101:V101)/10)</f>
        <v>0</v>
      </c>
      <c r="P101" s="185">
        <f>C_S_G(Q101:V101,Q97:V97,csg_table,N97,O101)</f>
        <v>0.7904761904761904</v>
      </c>
      <c r="Q101" s="14"/>
      <c r="R101" s="15"/>
      <c r="S101" s="15"/>
      <c r="T101" s="15">
        <v>3</v>
      </c>
      <c r="U101" s="15">
        <v>2</v>
      </c>
      <c r="V101" s="16">
        <v>2</v>
      </c>
    </row>
    <row r="102" spans="2:22" ht="13.5" thickBot="1">
      <c r="B102" s="2" t="s">
        <v>40</v>
      </c>
      <c r="C102" s="186">
        <f>COUNTA(F102:K102)</f>
        <v>3</v>
      </c>
      <c r="D102" s="187">
        <f>INT(COUNT(F102:K102)/10)</f>
        <v>0</v>
      </c>
      <c r="E102" s="188">
        <f>C_S_G(F102:K102,F97:K97,LISYRA_table,C97,D102)</f>
        <v>0.6761904761904762</v>
      </c>
      <c r="F102" s="17"/>
      <c r="G102" s="18"/>
      <c r="H102" s="18"/>
      <c r="I102" s="18">
        <v>4</v>
      </c>
      <c r="J102" s="18">
        <v>3</v>
      </c>
      <c r="K102" s="19">
        <v>3</v>
      </c>
      <c r="M102" s="2" t="s">
        <v>40</v>
      </c>
      <c r="N102" s="186">
        <f>COUNTA(Q102:V102)</f>
        <v>3</v>
      </c>
      <c r="O102" s="187">
        <f>INT(COUNT(Q102:V102)/10)</f>
        <v>0</v>
      </c>
      <c r="P102" s="188">
        <f>C_S_G(Q102:V102,Q97:V97,csg_table,N97,O102)</f>
        <v>0.6761904761904762</v>
      </c>
      <c r="Q102" s="17"/>
      <c r="R102" s="18"/>
      <c r="S102" s="18"/>
      <c r="T102" s="18">
        <v>4</v>
      </c>
      <c r="U102" s="18">
        <v>3</v>
      </c>
      <c r="V102" s="19">
        <v>3</v>
      </c>
    </row>
    <row r="104" ht="12.75">
      <c r="A104" s="145" t="s">
        <v>51</v>
      </c>
    </row>
    <row r="105" ht="12.75">
      <c r="A105" s="145" t="s">
        <v>52</v>
      </c>
    </row>
    <row r="106" ht="12.75">
      <c r="A106" s="145" t="s">
        <v>53</v>
      </c>
    </row>
    <row r="107" ht="12.75">
      <c r="A107" s="145" t="s">
        <v>54</v>
      </c>
    </row>
    <row r="108" ht="12.75">
      <c r="A108" s="145" t="s">
        <v>55</v>
      </c>
    </row>
    <row r="109" spans="1:5" ht="12.75">
      <c r="A109" s="145" t="s">
        <v>56</v>
      </c>
      <c r="E109" s="145" t="s">
        <v>7</v>
      </c>
    </row>
    <row r="110" ht="12.75">
      <c r="A110" s="145" t="s">
        <v>57</v>
      </c>
    </row>
    <row r="112" ht="12.75">
      <c r="A112" s="145" t="s">
        <v>58</v>
      </c>
    </row>
    <row r="114" ht="12.75">
      <c r="A114" s="145" t="s">
        <v>59</v>
      </c>
    </row>
    <row r="115" ht="12.75">
      <c r="A115" s="145" t="s">
        <v>60</v>
      </c>
    </row>
    <row r="117" spans="2:13" ht="12.75">
      <c r="B117" s="145" t="s">
        <v>33</v>
      </c>
      <c r="M117" s="145" t="s">
        <v>34</v>
      </c>
    </row>
    <row r="118" ht="13.5" thickBot="1"/>
    <row r="119" spans="2:22" ht="13.5" thickBot="1">
      <c r="B119" s="173" t="s">
        <v>50</v>
      </c>
      <c r="C119" s="174">
        <f>COUNTIF(E119:K119,"&gt;0")</f>
        <v>6</v>
      </c>
      <c r="D119" s="175"/>
      <c r="E119" s="176" t="s">
        <v>3</v>
      </c>
      <c r="F119" s="9">
        <f aca="true" t="shared" si="5" ref="F119:K119">COUNTA(F121:F124)</f>
        <v>2</v>
      </c>
      <c r="G119" s="9">
        <f t="shared" si="5"/>
        <v>2</v>
      </c>
      <c r="H119" s="9">
        <f t="shared" si="5"/>
        <v>2</v>
      </c>
      <c r="I119" s="9">
        <f t="shared" si="5"/>
        <v>4</v>
      </c>
      <c r="J119" s="9">
        <f t="shared" si="5"/>
        <v>3</v>
      </c>
      <c r="K119" s="10">
        <f t="shared" si="5"/>
        <v>2</v>
      </c>
      <c r="M119" s="189"/>
      <c r="N119" s="174">
        <f>COUNTIF(P119:V119,"&gt;0")</f>
        <v>6</v>
      </c>
      <c r="O119" s="175"/>
      <c r="P119" s="176" t="s">
        <v>3</v>
      </c>
      <c r="Q119" s="9">
        <f aca="true" t="shared" si="6" ref="Q119:V119">COUNTA(Q121:Q124)</f>
        <v>2</v>
      </c>
      <c r="R119" s="9">
        <f t="shared" si="6"/>
        <v>2</v>
      </c>
      <c r="S119" s="9">
        <f t="shared" si="6"/>
        <v>2</v>
      </c>
      <c r="T119" s="9">
        <f t="shared" si="6"/>
        <v>4</v>
      </c>
      <c r="U119" s="9">
        <f t="shared" si="6"/>
        <v>3</v>
      </c>
      <c r="V119" s="10">
        <f t="shared" si="6"/>
        <v>2</v>
      </c>
    </row>
    <row r="120" spans="2:22" ht="44.25" thickBot="1">
      <c r="B120" s="177"/>
      <c r="C120" s="178" t="s">
        <v>4</v>
      </c>
      <c r="D120" s="178" t="s">
        <v>5</v>
      </c>
      <c r="E120" s="179" t="s">
        <v>6</v>
      </c>
      <c r="F120" s="5"/>
      <c r="G120" s="6"/>
      <c r="H120" s="6"/>
      <c r="I120" s="6"/>
      <c r="J120" s="6"/>
      <c r="K120" s="8"/>
      <c r="M120" s="177"/>
      <c r="N120" s="178" t="s">
        <v>4</v>
      </c>
      <c r="O120" s="178" t="s">
        <v>5</v>
      </c>
      <c r="P120" s="179" t="s">
        <v>6</v>
      </c>
      <c r="Q120" s="5"/>
      <c r="R120" s="6"/>
      <c r="S120" s="6"/>
      <c r="T120" s="6"/>
      <c r="U120" s="6"/>
      <c r="V120" s="8"/>
    </row>
    <row r="121" spans="2:22" ht="12.75">
      <c r="B121" s="1" t="s">
        <v>37</v>
      </c>
      <c r="C121" s="180">
        <f>COUNTA(F121:K121)</f>
        <v>5</v>
      </c>
      <c r="D121" s="181">
        <f>INT(COUNT(F121:K121)/10)</f>
        <v>0</v>
      </c>
      <c r="E121" s="182">
        <f>C_S_G(F121:K121,F119:K119,LISYRA_table,C119,D121)</f>
        <v>0.8554216867469879</v>
      </c>
      <c r="F121" s="12">
        <v>1</v>
      </c>
      <c r="G121" s="13">
        <v>2</v>
      </c>
      <c r="H121" s="13">
        <v>1</v>
      </c>
      <c r="I121" s="13">
        <v>2</v>
      </c>
      <c r="J121" s="13"/>
      <c r="K121" s="20">
        <v>1</v>
      </c>
      <c r="M121" s="1" t="s">
        <v>37</v>
      </c>
      <c r="N121" s="180">
        <f>COUNTA(Q121:V121)</f>
        <v>5</v>
      </c>
      <c r="O121" s="181">
        <f>INT(COUNT(Q121:V121)/10)</f>
        <v>0</v>
      </c>
      <c r="P121" s="182">
        <f>C_S_G(Q121:V121,Q119:V119,csg_table,N119,O121)</f>
        <v>0.891566265060241</v>
      </c>
      <c r="Q121" s="12">
        <v>1</v>
      </c>
      <c r="R121" s="13">
        <v>2</v>
      </c>
      <c r="S121" s="13">
        <v>1</v>
      </c>
      <c r="T121" s="13">
        <v>2</v>
      </c>
      <c r="U121" s="13"/>
      <c r="V121" s="20">
        <v>1</v>
      </c>
    </row>
    <row r="122" spans="2:22" ht="12.75">
      <c r="B122" s="1" t="s">
        <v>38</v>
      </c>
      <c r="C122" s="183">
        <f>COUNTA(F122:K122)</f>
        <v>5</v>
      </c>
      <c r="D122" s="184">
        <f>INT(COUNT(F122:K122)/10)</f>
        <v>0</v>
      </c>
      <c r="E122" s="185">
        <f>C_S_G(F122:K122,F119:K119,LISYRA_table,C119,D122)</f>
        <v>0.8846153846153846</v>
      </c>
      <c r="F122" s="14">
        <v>2</v>
      </c>
      <c r="G122" s="15">
        <v>1</v>
      </c>
      <c r="H122" s="15">
        <v>2</v>
      </c>
      <c r="I122" s="15">
        <v>1</v>
      </c>
      <c r="J122" s="15">
        <v>1</v>
      </c>
      <c r="K122" s="16"/>
      <c r="M122" s="1" t="s">
        <v>38</v>
      </c>
      <c r="N122" s="183">
        <f>COUNTA(Q122:V122)</f>
        <v>5</v>
      </c>
      <c r="O122" s="184">
        <f>INT(COUNT(Q122:V122)/10)</f>
        <v>0</v>
      </c>
      <c r="P122" s="185">
        <f>C_S_G(Q122:V122,Q119:V119,csg_table,N119,O122)</f>
        <v>0.9423076923076923</v>
      </c>
      <c r="Q122" s="14">
        <v>2</v>
      </c>
      <c r="R122" s="15">
        <v>1</v>
      </c>
      <c r="S122" s="15">
        <v>2</v>
      </c>
      <c r="T122" s="15">
        <v>1</v>
      </c>
      <c r="U122" s="15">
        <v>1</v>
      </c>
      <c r="V122" s="16"/>
    </row>
    <row r="123" spans="2:22" ht="12.75">
      <c r="B123" s="1" t="s">
        <v>39</v>
      </c>
      <c r="C123" s="183">
        <f>COUNTA(F123:K123)</f>
        <v>3</v>
      </c>
      <c r="D123" s="184">
        <f>INT(COUNT(F123:K123)/10)</f>
        <v>0</v>
      </c>
      <c r="E123" s="185">
        <f>C_S_G(F123:K123,F119:K119,LISYRA_table,C119,D123)</f>
        <v>0.6428571428571429</v>
      </c>
      <c r="F123" s="14"/>
      <c r="G123" s="15"/>
      <c r="H123" s="15"/>
      <c r="I123" s="15">
        <v>4</v>
      </c>
      <c r="J123" s="15">
        <v>3</v>
      </c>
      <c r="K123" s="16">
        <v>2</v>
      </c>
      <c r="M123" s="1" t="s">
        <v>39</v>
      </c>
      <c r="N123" s="183">
        <f>COUNTA(Q123:V123)</f>
        <v>3</v>
      </c>
      <c r="O123" s="184">
        <f>INT(COUNT(Q123:V123)/10)</f>
        <v>0</v>
      </c>
      <c r="P123" s="185">
        <f>C_S_G(Q123:V123,Q119:V119,csg_table,N119,O123)</f>
        <v>0.6785714285714286</v>
      </c>
      <c r="Q123" s="14"/>
      <c r="R123" s="15"/>
      <c r="S123" s="15"/>
      <c r="T123" s="15">
        <v>4</v>
      </c>
      <c r="U123" s="15">
        <v>3</v>
      </c>
      <c r="V123" s="16">
        <v>2</v>
      </c>
    </row>
    <row r="124" spans="2:22" ht="13.5" thickBot="1">
      <c r="B124" s="2" t="s">
        <v>40</v>
      </c>
      <c r="C124" s="186">
        <f>COUNTA(F124:K124)</f>
        <v>2</v>
      </c>
      <c r="D124" s="187">
        <f>INT(COUNT(F124:K124)/10)</f>
        <v>0</v>
      </c>
      <c r="E124" s="188">
        <f>C_S_G(F124:K124,F119:K119,LISYRA_table,C119,D124)</f>
        <v>0.7837837837837838</v>
      </c>
      <c r="F124" s="17"/>
      <c r="G124" s="18"/>
      <c r="H124" s="18"/>
      <c r="I124" s="18">
        <v>3</v>
      </c>
      <c r="J124" s="18">
        <v>2</v>
      </c>
      <c r="K124" s="19"/>
      <c r="M124" s="2" t="s">
        <v>40</v>
      </c>
      <c r="N124" s="186">
        <f>COUNTA(Q124:V124)</f>
        <v>2</v>
      </c>
      <c r="O124" s="187">
        <f>INT(COUNT(Q124:V124)/10)</f>
        <v>0</v>
      </c>
      <c r="P124" s="188">
        <f>C_S_G(Q124:V124,Q119:V119,csg_table,N119,O124)</f>
        <v>0.7837837837837838</v>
      </c>
      <c r="Q124" s="17"/>
      <c r="R124" s="18"/>
      <c r="S124" s="18"/>
      <c r="T124" s="18">
        <v>3</v>
      </c>
      <c r="U124" s="18">
        <v>2</v>
      </c>
      <c r="V124" s="19"/>
    </row>
    <row r="127" ht="12.75">
      <c r="A127" s="145" t="s">
        <v>61</v>
      </c>
    </row>
    <row r="128" ht="12.75">
      <c r="A128" s="145" t="s">
        <v>477</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9"/>
  <dimension ref="B2:O34"/>
  <sheetViews>
    <sheetView zoomScalePageLayoutView="0" workbookViewId="0" topLeftCell="A1">
      <selection activeCell="A1" sqref="A1"/>
    </sheetView>
  </sheetViews>
  <sheetFormatPr defaultColWidth="9.140625" defaultRowHeight="12.75"/>
  <cols>
    <col min="1" max="1" width="2.57421875" style="145" customWidth="1"/>
    <col min="2" max="2" width="5.28125" style="144" customWidth="1"/>
    <col min="3" max="3" width="5.57421875" style="144" customWidth="1"/>
    <col min="4" max="4" width="24.8515625" style="145" bestFit="1" customWidth="1"/>
    <col min="5" max="5" width="4.57421875" style="144" bestFit="1" customWidth="1"/>
    <col min="6" max="13" width="7.00390625" style="144" bestFit="1" customWidth="1"/>
    <col min="14" max="14" width="5.140625" style="144" bestFit="1" customWidth="1"/>
    <col min="15" max="15" width="4.00390625" style="144" bestFit="1" customWidth="1"/>
    <col min="16" max="16384" width="9.140625" style="145" customWidth="1"/>
  </cols>
  <sheetData>
    <row r="2" spans="2:15" s="142" customFormat="1" ht="15.75">
      <c r="B2" s="22" t="s">
        <v>350</v>
      </c>
      <c r="C2" s="141"/>
      <c r="E2" s="141"/>
      <c r="F2" s="141"/>
      <c r="G2" s="141"/>
      <c r="H2" s="141"/>
      <c r="I2" s="141"/>
      <c r="J2" s="141"/>
      <c r="K2" s="141"/>
      <c r="L2" s="141"/>
      <c r="M2" s="141"/>
      <c r="N2" s="141"/>
      <c r="O2" s="141"/>
    </row>
    <row r="3" spans="2:15" s="142" customFormat="1" ht="15.75">
      <c r="B3" s="143" t="s">
        <v>349</v>
      </c>
      <c r="C3" s="141"/>
      <c r="E3" s="141"/>
      <c r="F3" s="141"/>
      <c r="G3" s="141"/>
      <c r="H3" s="141"/>
      <c r="I3" s="141"/>
      <c r="J3" s="141"/>
      <c r="K3" s="141"/>
      <c r="L3" s="141"/>
      <c r="M3" s="141"/>
      <c r="N3" s="141"/>
      <c r="O3" s="141"/>
    </row>
    <row r="4" ht="12.75" customHeight="1">
      <c r="B4" s="146" t="s">
        <v>155</v>
      </c>
    </row>
    <row r="5" spans="2:15" s="77" customFormat="1" ht="12.75" customHeight="1">
      <c r="B5" s="80"/>
      <c r="C5" s="129"/>
      <c r="E5" s="129"/>
      <c r="F5" s="129"/>
      <c r="G5" s="129"/>
      <c r="H5" s="129"/>
      <c r="I5" s="129"/>
      <c r="J5" s="129"/>
      <c r="K5" s="129"/>
      <c r="L5" s="129"/>
      <c r="M5" s="129"/>
      <c r="N5" s="129"/>
      <c r="O5" s="129"/>
    </row>
    <row r="6" spans="2:15" s="77" customFormat="1" ht="12.75" customHeight="1">
      <c r="B6" s="129"/>
      <c r="C6" s="129"/>
      <c r="E6" s="129"/>
      <c r="F6" s="224">
        <v>38185</v>
      </c>
      <c r="G6" s="225"/>
      <c r="H6" s="226"/>
      <c r="I6" s="224">
        <v>38551</v>
      </c>
      <c r="J6" s="226"/>
      <c r="K6" s="224">
        <f>F6+7</f>
        <v>38192</v>
      </c>
      <c r="L6" s="226"/>
      <c r="M6" s="226">
        <f>K6+1</f>
        <v>38193</v>
      </c>
      <c r="N6" s="129"/>
      <c r="O6" s="129"/>
    </row>
    <row r="7" spans="2:15" s="77" customFormat="1" ht="11.25">
      <c r="B7" s="85" t="s">
        <v>156</v>
      </c>
      <c r="C7" s="85" t="s">
        <v>195</v>
      </c>
      <c r="D7" s="85" t="s">
        <v>158</v>
      </c>
      <c r="E7" s="85"/>
      <c r="F7" s="85" t="s">
        <v>95</v>
      </c>
      <c r="G7" s="85" t="s">
        <v>96</v>
      </c>
      <c r="H7" s="85" t="s">
        <v>97</v>
      </c>
      <c r="I7" s="85" t="s">
        <v>106</v>
      </c>
      <c r="J7" s="85" t="s">
        <v>160</v>
      </c>
      <c r="K7" s="85" t="s">
        <v>196</v>
      </c>
      <c r="L7" s="85" t="s">
        <v>197</v>
      </c>
      <c r="M7" s="85" t="s">
        <v>198</v>
      </c>
      <c r="N7" s="85" t="s">
        <v>98</v>
      </c>
      <c r="O7" s="85" t="s">
        <v>239</v>
      </c>
    </row>
    <row r="8" spans="2:15" s="77" customFormat="1" ht="11.25">
      <c r="B8" s="81">
        <v>1</v>
      </c>
      <c r="C8" s="82">
        <v>231</v>
      </c>
      <c r="D8" s="227" t="s">
        <v>351</v>
      </c>
      <c r="E8" s="228" t="s">
        <v>117</v>
      </c>
      <c r="F8" s="228">
        <v>1</v>
      </c>
      <c r="G8" s="82">
        <v>6</v>
      </c>
      <c r="H8" s="82">
        <v>2</v>
      </c>
      <c r="I8" s="82">
        <v>2</v>
      </c>
      <c r="J8" s="82">
        <v>5</v>
      </c>
      <c r="K8" s="82">
        <v>2</v>
      </c>
      <c r="L8" s="82">
        <v>3</v>
      </c>
      <c r="M8" s="81">
        <v>2</v>
      </c>
      <c r="N8" s="82">
        <f>SUM(F8:M8)+(COUNTA(F8:M8)-COUNT(F8:M8))*(1+MAX(B2:B26))</f>
        <v>23</v>
      </c>
      <c r="O8" s="82">
        <f>(IF(COUNT(F8:M8)=COUNTA(F8:M8),N8-MAX(F8:M8),N8-MAX($B$8:$B$47)-1))</f>
        <v>17</v>
      </c>
    </row>
    <row r="9" spans="2:15" s="77" customFormat="1" ht="11.25">
      <c r="B9" s="81">
        <v>2</v>
      </c>
      <c r="C9" s="82">
        <v>25</v>
      </c>
      <c r="D9" s="227" t="s">
        <v>310</v>
      </c>
      <c r="E9" s="228" t="s">
        <v>117</v>
      </c>
      <c r="F9" s="228">
        <v>6</v>
      </c>
      <c r="G9" s="82">
        <v>1</v>
      </c>
      <c r="H9" s="82">
        <v>4</v>
      </c>
      <c r="I9" s="82">
        <v>3</v>
      </c>
      <c r="J9" s="82">
        <v>3</v>
      </c>
      <c r="K9" s="82">
        <v>4</v>
      </c>
      <c r="L9" s="82">
        <v>8</v>
      </c>
      <c r="M9" s="81">
        <v>4</v>
      </c>
      <c r="N9" s="82">
        <f>SUM(F9:M9)+(COUNTA(F9:M9)-COUNT(F9:M9))*(1+MAX(B3:B26))</f>
        <v>33</v>
      </c>
      <c r="O9" s="82">
        <f aca="true" t="shared" si="0" ref="O9:O25">(IF(COUNT(F9:M9)=COUNTA(F9:M9),N9-MAX(F9:M9),N9-MAX($B$8:$B$47)-1))</f>
        <v>25</v>
      </c>
    </row>
    <row r="10" spans="2:15" s="77" customFormat="1" ht="11.25">
      <c r="B10" s="81">
        <v>3</v>
      </c>
      <c r="C10" s="82">
        <v>106</v>
      </c>
      <c r="D10" s="227" t="s">
        <v>311</v>
      </c>
      <c r="E10" s="228" t="s">
        <v>117</v>
      </c>
      <c r="F10" s="228">
        <v>4</v>
      </c>
      <c r="G10" s="82">
        <v>7</v>
      </c>
      <c r="H10" s="82">
        <v>3</v>
      </c>
      <c r="I10" s="82">
        <v>4</v>
      </c>
      <c r="J10" s="82">
        <v>2</v>
      </c>
      <c r="K10" s="82">
        <v>10</v>
      </c>
      <c r="L10" s="82">
        <v>2</v>
      </c>
      <c r="M10" s="81">
        <v>5</v>
      </c>
      <c r="N10" s="82">
        <f>SUM(F10:M10)+(COUNTA(F10:M10)-COUNT(F10:M10))*(1+MAX(B4:B26))</f>
        <v>37</v>
      </c>
      <c r="O10" s="82">
        <f t="shared" si="0"/>
        <v>27</v>
      </c>
    </row>
    <row r="11" spans="2:15" s="77" customFormat="1" ht="11.25">
      <c r="B11" s="81">
        <v>4</v>
      </c>
      <c r="C11" s="82">
        <v>23</v>
      </c>
      <c r="D11" s="227" t="s">
        <v>341</v>
      </c>
      <c r="E11" s="228" t="s">
        <v>117</v>
      </c>
      <c r="F11" s="228">
        <v>5</v>
      </c>
      <c r="G11" s="82">
        <v>2</v>
      </c>
      <c r="H11" s="82">
        <v>7</v>
      </c>
      <c r="I11" s="82">
        <v>12</v>
      </c>
      <c r="J11" s="82">
        <v>4</v>
      </c>
      <c r="K11" s="82">
        <v>1</v>
      </c>
      <c r="L11" s="82">
        <v>4</v>
      </c>
      <c r="M11" s="81">
        <v>6</v>
      </c>
      <c r="N11" s="82">
        <f>SUM(F11:M11)+(COUNTA(F11:M11)-COUNT(F11:M11))*(1+MAX(B6:B25))</f>
        <v>41</v>
      </c>
      <c r="O11" s="82">
        <f t="shared" si="0"/>
        <v>29</v>
      </c>
    </row>
    <row r="12" spans="2:15" s="77" customFormat="1" ht="11.25">
      <c r="B12" s="81">
        <v>5</v>
      </c>
      <c r="C12" s="82">
        <v>221</v>
      </c>
      <c r="D12" s="227" t="s">
        <v>340</v>
      </c>
      <c r="E12" s="228" t="s">
        <v>117</v>
      </c>
      <c r="F12" s="228">
        <v>3</v>
      </c>
      <c r="G12" s="82">
        <v>3</v>
      </c>
      <c r="H12" s="82">
        <v>5</v>
      </c>
      <c r="I12" s="82">
        <v>14</v>
      </c>
      <c r="J12" s="82">
        <v>6</v>
      </c>
      <c r="K12" s="82">
        <v>6</v>
      </c>
      <c r="L12" s="82">
        <v>10</v>
      </c>
      <c r="M12" s="81">
        <v>1</v>
      </c>
      <c r="N12" s="82">
        <f>SUM(F12:M12)+(COUNTA(F12:M12)-COUNT(F12:M12))*(1+MAX(B7:B27))</f>
        <v>48</v>
      </c>
      <c r="O12" s="82">
        <f t="shared" si="0"/>
        <v>34</v>
      </c>
    </row>
    <row r="13" spans="2:15" s="77" customFormat="1" ht="11.25">
      <c r="B13" s="81">
        <v>6</v>
      </c>
      <c r="C13" s="82">
        <v>182</v>
      </c>
      <c r="D13" s="227" t="s">
        <v>316</v>
      </c>
      <c r="E13" s="228" t="s">
        <v>117</v>
      </c>
      <c r="F13" s="228">
        <v>9</v>
      </c>
      <c r="G13" s="82">
        <v>5</v>
      </c>
      <c r="H13" s="82">
        <v>8</v>
      </c>
      <c r="I13" s="82">
        <v>10</v>
      </c>
      <c r="J13" s="82">
        <v>11</v>
      </c>
      <c r="K13" s="82">
        <v>3</v>
      </c>
      <c r="L13" s="82">
        <v>1</v>
      </c>
      <c r="M13" s="81">
        <v>7</v>
      </c>
      <c r="N13" s="82">
        <f aca="true" t="shared" si="1" ref="N13:N25">SUM(F13:M13)+(COUNTA(F13:M13)-COUNT(F13:M13))*(1+MAX(B8:B23))</f>
        <v>54</v>
      </c>
      <c r="O13" s="82">
        <f t="shared" si="0"/>
        <v>43</v>
      </c>
    </row>
    <row r="14" spans="2:15" s="77" customFormat="1" ht="11.25">
      <c r="B14" s="81">
        <v>7</v>
      </c>
      <c r="C14" s="82">
        <v>26</v>
      </c>
      <c r="D14" s="227" t="s">
        <v>342</v>
      </c>
      <c r="E14" s="228" t="s">
        <v>117</v>
      </c>
      <c r="F14" s="228">
        <v>14</v>
      </c>
      <c r="G14" s="82">
        <v>4</v>
      </c>
      <c r="H14" s="82">
        <v>1</v>
      </c>
      <c r="I14" s="82">
        <v>8</v>
      </c>
      <c r="J14" s="82">
        <v>13</v>
      </c>
      <c r="K14" s="82">
        <v>7</v>
      </c>
      <c r="L14" s="82" t="s">
        <v>166</v>
      </c>
      <c r="M14" s="81">
        <v>3</v>
      </c>
      <c r="N14" s="82">
        <f>SUM(F14:M14)+(COUNTA(F14:M14)-COUNT(F14:M14))*(1+MAX(B9:B27))</f>
        <v>69</v>
      </c>
      <c r="O14" s="82">
        <f t="shared" si="0"/>
        <v>50</v>
      </c>
    </row>
    <row r="15" spans="2:15" s="77" customFormat="1" ht="11.25">
      <c r="B15" s="81">
        <v>8</v>
      </c>
      <c r="C15" s="82">
        <v>176</v>
      </c>
      <c r="D15" s="227" t="s">
        <v>281</v>
      </c>
      <c r="E15" s="228" t="s">
        <v>117</v>
      </c>
      <c r="F15" s="228">
        <v>7</v>
      </c>
      <c r="G15" s="82">
        <v>9</v>
      </c>
      <c r="H15" s="82" t="s">
        <v>233</v>
      </c>
      <c r="I15" s="82">
        <v>5</v>
      </c>
      <c r="J15" s="82">
        <v>10</v>
      </c>
      <c r="K15" s="82">
        <v>9</v>
      </c>
      <c r="L15" s="82">
        <v>5</v>
      </c>
      <c r="M15" s="81">
        <v>10</v>
      </c>
      <c r="N15" s="82">
        <f t="shared" si="1"/>
        <v>74</v>
      </c>
      <c r="O15" s="82">
        <f t="shared" si="0"/>
        <v>55</v>
      </c>
    </row>
    <row r="16" spans="2:15" s="77" customFormat="1" ht="11.25">
      <c r="B16" s="81">
        <v>9</v>
      </c>
      <c r="C16" s="82">
        <v>49</v>
      </c>
      <c r="D16" s="227" t="s">
        <v>343</v>
      </c>
      <c r="E16" s="228" t="s">
        <v>117</v>
      </c>
      <c r="F16" s="228">
        <v>2</v>
      </c>
      <c r="G16" s="82" t="s">
        <v>233</v>
      </c>
      <c r="H16" s="82">
        <v>6</v>
      </c>
      <c r="I16" s="82">
        <v>1</v>
      </c>
      <c r="J16" s="82" t="s">
        <v>324</v>
      </c>
      <c r="K16" s="82">
        <v>8</v>
      </c>
      <c r="L16" s="82">
        <v>6</v>
      </c>
      <c r="M16" s="81" t="s">
        <v>166</v>
      </c>
      <c r="N16" s="82">
        <f>SUM(F16:M16)+(COUNTA(F16:M16)-COUNT(F16:M16))*(1+MAX(B11:B28))</f>
        <v>80</v>
      </c>
      <c r="O16" s="82">
        <f t="shared" si="0"/>
        <v>61</v>
      </c>
    </row>
    <row r="17" spans="2:15" s="77" customFormat="1" ht="11.25">
      <c r="B17" s="81">
        <v>10</v>
      </c>
      <c r="C17" s="82">
        <v>70</v>
      </c>
      <c r="D17" s="227" t="s">
        <v>352</v>
      </c>
      <c r="E17" s="228" t="s">
        <v>117</v>
      </c>
      <c r="F17" s="228">
        <v>12</v>
      </c>
      <c r="G17" s="82">
        <v>13</v>
      </c>
      <c r="H17" s="82">
        <v>11</v>
      </c>
      <c r="I17" s="82">
        <v>7</v>
      </c>
      <c r="J17" s="82">
        <v>9</v>
      </c>
      <c r="K17" s="82">
        <v>5</v>
      </c>
      <c r="L17" s="82">
        <v>7</v>
      </c>
      <c r="M17" s="81">
        <v>11</v>
      </c>
      <c r="N17" s="82">
        <f t="shared" si="1"/>
        <v>75</v>
      </c>
      <c r="O17" s="82">
        <f t="shared" si="0"/>
        <v>62</v>
      </c>
    </row>
    <row r="18" spans="2:15" s="77" customFormat="1" ht="11.25">
      <c r="B18" s="81">
        <v>11</v>
      </c>
      <c r="C18" s="82">
        <v>183</v>
      </c>
      <c r="D18" s="227" t="s">
        <v>312</v>
      </c>
      <c r="E18" s="228" t="s">
        <v>117</v>
      </c>
      <c r="F18" s="228">
        <v>10</v>
      </c>
      <c r="G18" s="82">
        <v>11</v>
      </c>
      <c r="H18" s="82">
        <v>12</v>
      </c>
      <c r="I18" s="82">
        <v>6</v>
      </c>
      <c r="J18" s="82">
        <v>7</v>
      </c>
      <c r="K18" s="82">
        <v>13</v>
      </c>
      <c r="L18" s="82">
        <v>13</v>
      </c>
      <c r="M18" s="81">
        <v>8</v>
      </c>
      <c r="N18" s="82">
        <f t="shared" si="1"/>
        <v>80</v>
      </c>
      <c r="O18" s="82">
        <f t="shared" si="0"/>
        <v>67</v>
      </c>
    </row>
    <row r="19" spans="2:15" s="77" customFormat="1" ht="11.25">
      <c r="B19" s="81">
        <v>12</v>
      </c>
      <c r="C19" s="82">
        <v>142</v>
      </c>
      <c r="D19" s="227" t="s">
        <v>313</v>
      </c>
      <c r="E19" s="228" t="s">
        <v>117</v>
      </c>
      <c r="F19" s="228">
        <v>11</v>
      </c>
      <c r="G19" s="82">
        <v>8</v>
      </c>
      <c r="H19" s="82" t="s">
        <v>233</v>
      </c>
      <c r="I19" s="82">
        <v>11</v>
      </c>
      <c r="J19" s="82">
        <v>1</v>
      </c>
      <c r="K19" s="82">
        <v>17</v>
      </c>
      <c r="L19" s="82">
        <v>12</v>
      </c>
      <c r="M19" s="81">
        <v>13</v>
      </c>
      <c r="N19" s="82">
        <f>SUM(F19:M19)+(COUNTA(F19:M19)-COUNT(F19:M19))*(1+MAX(B14:B30))</f>
        <v>92</v>
      </c>
      <c r="O19" s="82">
        <f t="shared" si="0"/>
        <v>73</v>
      </c>
    </row>
    <row r="20" spans="2:15" s="77" customFormat="1" ht="11.25">
      <c r="B20" s="81">
        <v>13</v>
      </c>
      <c r="C20" s="82">
        <v>197</v>
      </c>
      <c r="D20" s="227" t="s">
        <v>315</v>
      </c>
      <c r="E20" s="228" t="s">
        <v>117</v>
      </c>
      <c r="F20" s="228">
        <v>8</v>
      </c>
      <c r="G20" s="82">
        <v>12</v>
      </c>
      <c r="H20" s="82">
        <v>10</v>
      </c>
      <c r="I20" s="82">
        <v>15</v>
      </c>
      <c r="J20" s="82" t="s">
        <v>166</v>
      </c>
      <c r="K20" s="82">
        <v>12</v>
      </c>
      <c r="L20" s="82">
        <v>9</v>
      </c>
      <c r="M20" s="81">
        <v>9</v>
      </c>
      <c r="N20" s="82">
        <f t="shared" si="1"/>
        <v>94</v>
      </c>
      <c r="O20" s="82">
        <f t="shared" si="0"/>
        <v>75</v>
      </c>
    </row>
    <row r="21" spans="2:15" s="77" customFormat="1" ht="11.25">
      <c r="B21" s="81">
        <v>14</v>
      </c>
      <c r="C21" s="82">
        <v>41</v>
      </c>
      <c r="D21" s="227" t="s">
        <v>344</v>
      </c>
      <c r="E21" s="228" t="s">
        <v>117</v>
      </c>
      <c r="F21" s="228">
        <v>13</v>
      </c>
      <c r="G21" s="82">
        <v>10</v>
      </c>
      <c r="H21" s="82">
        <v>9</v>
      </c>
      <c r="I21" s="82">
        <v>9</v>
      </c>
      <c r="J21" s="82">
        <v>8</v>
      </c>
      <c r="K21" s="82">
        <v>14</v>
      </c>
      <c r="L21" s="82">
        <v>14</v>
      </c>
      <c r="M21" s="81">
        <v>14</v>
      </c>
      <c r="N21" s="82">
        <f t="shared" si="1"/>
        <v>91</v>
      </c>
      <c r="O21" s="82">
        <f t="shared" si="0"/>
        <v>77</v>
      </c>
    </row>
    <row r="22" spans="2:15" s="77" customFormat="1" ht="11.25">
      <c r="B22" s="81">
        <v>15</v>
      </c>
      <c r="C22" s="82">
        <v>83</v>
      </c>
      <c r="D22" s="227" t="s">
        <v>348</v>
      </c>
      <c r="E22" s="228" t="s">
        <v>117</v>
      </c>
      <c r="F22" s="228" t="s">
        <v>166</v>
      </c>
      <c r="G22" s="82" t="s">
        <v>166</v>
      </c>
      <c r="H22" s="82" t="s">
        <v>166</v>
      </c>
      <c r="I22" s="82">
        <v>16</v>
      </c>
      <c r="J22" s="82">
        <v>12</v>
      </c>
      <c r="K22" s="82">
        <v>11</v>
      </c>
      <c r="L22" s="82">
        <v>11</v>
      </c>
      <c r="M22" s="81" t="s">
        <v>166</v>
      </c>
      <c r="N22" s="82">
        <f t="shared" si="1"/>
        <v>126</v>
      </c>
      <c r="O22" s="82">
        <f t="shared" si="0"/>
        <v>107</v>
      </c>
    </row>
    <row r="23" spans="2:15" s="77" customFormat="1" ht="11.25">
      <c r="B23" s="81">
        <v>16</v>
      </c>
      <c r="C23" s="82">
        <v>117</v>
      </c>
      <c r="D23" s="227" t="s">
        <v>347</v>
      </c>
      <c r="E23" s="228" t="s">
        <v>117</v>
      </c>
      <c r="F23" s="228" t="s">
        <v>166</v>
      </c>
      <c r="G23" s="82" t="s">
        <v>166</v>
      </c>
      <c r="H23" s="82" t="s">
        <v>166</v>
      </c>
      <c r="I23" s="82">
        <v>13</v>
      </c>
      <c r="J23" s="82">
        <v>14</v>
      </c>
      <c r="K23" s="82">
        <v>15</v>
      </c>
      <c r="L23" s="82">
        <v>15</v>
      </c>
      <c r="M23" s="81">
        <v>12</v>
      </c>
      <c r="N23" s="82">
        <f t="shared" si="1"/>
        <v>126</v>
      </c>
      <c r="O23" s="82">
        <f t="shared" si="0"/>
        <v>107</v>
      </c>
    </row>
    <row r="24" spans="2:15" s="77" customFormat="1" ht="11.25">
      <c r="B24" s="81">
        <v>17</v>
      </c>
      <c r="C24" s="82">
        <v>38</v>
      </c>
      <c r="D24" s="227" t="s">
        <v>345</v>
      </c>
      <c r="E24" s="228" t="s">
        <v>117</v>
      </c>
      <c r="F24" s="228">
        <v>15</v>
      </c>
      <c r="G24" s="82">
        <v>14</v>
      </c>
      <c r="H24" s="82">
        <v>13</v>
      </c>
      <c r="I24" s="82" t="s">
        <v>166</v>
      </c>
      <c r="J24" s="82" t="s">
        <v>166</v>
      </c>
      <c r="K24" s="82">
        <v>16</v>
      </c>
      <c r="L24" s="82">
        <v>16</v>
      </c>
      <c r="M24" s="81" t="s">
        <v>166</v>
      </c>
      <c r="N24" s="82">
        <f t="shared" si="1"/>
        <v>131</v>
      </c>
      <c r="O24" s="82">
        <f t="shared" si="0"/>
        <v>112</v>
      </c>
    </row>
    <row r="25" spans="2:15" s="77" customFormat="1" ht="11.25">
      <c r="B25" s="83">
        <v>18</v>
      </c>
      <c r="C25" s="84">
        <v>16</v>
      </c>
      <c r="D25" s="229" t="s">
        <v>346</v>
      </c>
      <c r="E25" s="230" t="s">
        <v>117</v>
      </c>
      <c r="F25" s="230" t="s">
        <v>166</v>
      </c>
      <c r="G25" s="84" t="s">
        <v>166</v>
      </c>
      <c r="H25" s="84" t="s">
        <v>166</v>
      </c>
      <c r="I25" s="84">
        <v>17</v>
      </c>
      <c r="J25" s="84">
        <v>15</v>
      </c>
      <c r="K25" s="84" t="s">
        <v>166</v>
      </c>
      <c r="L25" s="84" t="s">
        <v>166</v>
      </c>
      <c r="M25" s="83" t="s">
        <v>103</v>
      </c>
      <c r="N25" s="84">
        <f t="shared" si="1"/>
        <v>146</v>
      </c>
      <c r="O25" s="84">
        <f t="shared" si="0"/>
        <v>127</v>
      </c>
    </row>
    <row r="26" spans="2:15" s="77" customFormat="1" ht="11.25">
      <c r="B26" s="231"/>
      <c r="C26" s="231"/>
      <c r="D26" s="232"/>
      <c r="E26" s="231"/>
      <c r="F26" s="231"/>
      <c r="G26" s="231"/>
      <c r="H26" s="231"/>
      <c r="I26" s="231"/>
      <c r="J26" s="231"/>
      <c r="K26" s="231"/>
      <c r="L26" s="231"/>
      <c r="M26" s="231"/>
      <c r="N26" s="231"/>
      <c r="O26" s="129"/>
    </row>
    <row r="27" ht="12.75">
      <c r="B27" s="146" t="s">
        <v>230</v>
      </c>
    </row>
    <row r="28" ht="12.75">
      <c r="B28" s="46" t="s">
        <v>339</v>
      </c>
    </row>
    <row r="34" ht="12.75">
      <c r="M34" s="144" t="s">
        <v>7</v>
      </c>
    </row>
  </sheetData>
  <sheetProtection/>
  <hyperlinks>
    <hyperlink ref="B28" r:id="rId1" display="http://www.larchmontyc.org/Race_Committee/2005_RWSR_OD_RST.pdf"/>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sheetPr codeName="Sheet23"/>
  <dimension ref="A1:H57"/>
  <sheetViews>
    <sheetView zoomScalePageLayoutView="0" workbookViewId="0" topLeftCell="A1">
      <selection activeCell="D9" sqref="D9"/>
    </sheetView>
  </sheetViews>
  <sheetFormatPr defaultColWidth="9.140625" defaultRowHeight="12.75"/>
  <cols>
    <col min="1" max="1" width="9.140625" style="3" customWidth="1"/>
    <col min="2" max="2" width="21.57421875" style="3" customWidth="1"/>
    <col min="3" max="3" width="43.00390625" style="3" bestFit="1" customWidth="1"/>
    <col min="4" max="4" width="36.421875" style="21" bestFit="1" customWidth="1"/>
    <col min="5" max="16384" width="9.140625" style="3" customWidth="1"/>
  </cols>
  <sheetData>
    <row r="1" ht="12.75">
      <c r="A1" s="3">
        <v>2004</v>
      </c>
    </row>
    <row r="2" spans="1:4" ht="12.75">
      <c r="A2" s="21" t="s">
        <v>195</v>
      </c>
      <c r="B2" s="21"/>
      <c r="C2" s="3" t="s">
        <v>227</v>
      </c>
      <c r="D2" s="23" t="s">
        <v>228</v>
      </c>
    </row>
    <row r="3" spans="1:4" ht="12.75">
      <c r="A3" s="3">
        <v>5</v>
      </c>
      <c r="C3" s="3" t="s">
        <v>212</v>
      </c>
      <c r="D3" s="23" t="s">
        <v>129</v>
      </c>
    </row>
    <row r="4" spans="1:4" ht="12.75">
      <c r="A4" s="3">
        <v>16</v>
      </c>
      <c r="C4" s="3" t="s">
        <v>221</v>
      </c>
      <c r="D4" s="23" t="s">
        <v>130</v>
      </c>
    </row>
    <row r="5" spans="1:4" ht="12.75">
      <c r="A5" s="3">
        <v>22</v>
      </c>
      <c r="C5" s="3" t="s">
        <v>216</v>
      </c>
      <c r="D5" s="23" t="s">
        <v>131</v>
      </c>
    </row>
    <row r="6" spans="1:4" ht="12.75">
      <c r="A6" s="3">
        <v>23</v>
      </c>
      <c r="B6" s="3" t="s">
        <v>363</v>
      </c>
      <c r="C6" s="3" t="s">
        <v>487</v>
      </c>
      <c r="D6" s="23"/>
    </row>
    <row r="7" spans="1:4" ht="12.75">
      <c r="A7" s="3">
        <v>25</v>
      </c>
      <c r="B7" s="3" t="s">
        <v>361</v>
      </c>
      <c r="C7" s="3" t="s">
        <v>162</v>
      </c>
      <c r="D7" s="23" t="s">
        <v>132</v>
      </c>
    </row>
    <row r="8" spans="1:4" ht="12.75">
      <c r="A8" s="3">
        <v>26</v>
      </c>
      <c r="B8" s="3" t="s">
        <v>375</v>
      </c>
      <c r="C8" s="3" t="s">
        <v>217</v>
      </c>
      <c r="D8" s="23" t="s">
        <v>133</v>
      </c>
    </row>
    <row r="9" spans="1:4" ht="12.75">
      <c r="A9" s="3">
        <v>38</v>
      </c>
      <c r="C9" s="3" t="s">
        <v>208</v>
      </c>
      <c r="D9" s="23" t="s">
        <v>134</v>
      </c>
    </row>
    <row r="10" spans="1:4" ht="12.75">
      <c r="A10" s="3">
        <v>41</v>
      </c>
      <c r="B10" s="3" t="s">
        <v>392</v>
      </c>
      <c r="C10" s="3" t="s">
        <v>222</v>
      </c>
      <c r="D10" s="23" t="s">
        <v>135</v>
      </c>
    </row>
    <row r="11" spans="1:4" ht="12.75">
      <c r="A11" s="3">
        <v>49</v>
      </c>
      <c r="C11" s="3" t="s">
        <v>218</v>
      </c>
      <c r="D11" s="23" t="s">
        <v>136</v>
      </c>
    </row>
    <row r="12" spans="1:4" ht="12.75">
      <c r="A12" s="3">
        <v>54</v>
      </c>
      <c r="C12" s="3" t="s">
        <v>219</v>
      </c>
      <c r="D12" s="23" t="s">
        <v>137</v>
      </c>
    </row>
    <row r="13" spans="1:5" ht="12.75">
      <c r="A13" s="3">
        <v>70</v>
      </c>
      <c r="B13" s="3" t="s">
        <v>370</v>
      </c>
      <c r="C13" s="3" t="s">
        <v>213</v>
      </c>
      <c r="D13" s="23" t="s">
        <v>138</v>
      </c>
      <c r="E13"/>
    </row>
    <row r="14" spans="1:4" ht="12.75">
      <c r="A14" s="3">
        <v>106</v>
      </c>
      <c r="B14" s="3" t="s">
        <v>364</v>
      </c>
      <c r="C14" s="3" t="s">
        <v>220</v>
      </c>
      <c r="D14" s="23" t="s">
        <v>139</v>
      </c>
    </row>
    <row r="15" spans="1:8" ht="12.75">
      <c r="A15" s="3">
        <v>117</v>
      </c>
      <c r="B15" s="3" t="s">
        <v>369</v>
      </c>
      <c r="C15" s="3" t="s">
        <v>209</v>
      </c>
      <c r="D15" s="23" t="s">
        <v>140</v>
      </c>
      <c r="H15" s="3" t="s">
        <v>7</v>
      </c>
    </row>
    <row r="16" spans="1:4" ht="12.75">
      <c r="A16" s="3">
        <v>142</v>
      </c>
      <c r="B16" s="3" t="s">
        <v>383</v>
      </c>
      <c r="C16" s="3" t="s">
        <v>214</v>
      </c>
      <c r="D16" s="23" t="s">
        <v>141</v>
      </c>
    </row>
    <row r="17" spans="1:4" ht="12.75">
      <c r="A17" s="3">
        <v>176</v>
      </c>
      <c r="B17" s="3" t="s">
        <v>367</v>
      </c>
      <c r="C17" s="3" t="s">
        <v>210</v>
      </c>
      <c r="D17" s="23" t="s">
        <v>142</v>
      </c>
    </row>
    <row r="18" spans="1:4" ht="12.75">
      <c r="A18" s="3">
        <v>182</v>
      </c>
      <c r="B18" s="3" t="s">
        <v>368</v>
      </c>
      <c r="C18" s="3" t="s">
        <v>164</v>
      </c>
      <c r="D18" s="23" t="s">
        <v>143</v>
      </c>
    </row>
    <row r="19" spans="1:4" ht="12.75">
      <c r="A19" s="3">
        <v>183</v>
      </c>
      <c r="C19" s="3" t="s">
        <v>223</v>
      </c>
      <c r="D19" s="23" t="s">
        <v>144</v>
      </c>
    </row>
    <row r="20" spans="1:4" ht="12.75">
      <c r="A20" s="3">
        <v>197</v>
      </c>
      <c r="B20" s="3" t="s">
        <v>385</v>
      </c>
      <c r="C20" s="3" t="s">
        <v>215</v>
      </c>
      <c r="D20" s="23" t="s">
        <v>145</v>
      </c>
    </row>
    <row r="21" spans="1:4" ht="12.75">
      <c r="A21" s="3">
        <v>221</v>
      </c>
      <c r="B21" s="3" t="s">
        <v>366</v>
      </c>
      <c r="C21" s="3" t="s">
        <v>211</v>
      </c>
      <c r="D21" s="23" t="s">
        <v>146</v>
      </c>
    </row>
    <row r="22" spans="1:4" ht="12.75">
      <c r="A22" s="3">
        <v>231</v>
      </c>
      <c r="B22" s="3" t="s">
        <v>372</v>
      </c>
      <c r="C22" s="3" t="s">
        <v>224</v>
      </c>
      <c r="D22" s="23" t="s">
        <v>147</v>
      </c>
    </row>
    <row r="23" ht="12.75">
      <c r="D23" s="23"/>
    </row>
    <row r="24" spans="1:4" ht="12.75">
      <c r="A24" s="3">
        <v>117</v>
      </c>
      <c r="B24" s="3" t="s">
        <v>369</v>
      </c>
      <c r="C24" s="3" t="s">
        <v>209</v>
      </c>
      <c r="D24" s="23" t="s">
        <v>148</v>
      </c>
    </row>
    <row r="25" ht="12.75">
      <c r="D25" s="23" t="s">
        <v>149</v>
      </c>
    </row>
    <row r="26" spans="1:4" ht="12.75">
      <c r="A26" s="3">
        <v>183</v>
      </c>
      <c r="C26" s="3" t="s">
        <v>223</v>
      </c>
      <c r="D26" s="23" t="s">
        <v>150</v>
      </c>
    </row>
    <row r="27" ht="12.75">
      <c r="D27" s="23" t="s">
        <v>151</v>
      </c>
    </row>
    <row r="28" spans="1:4" ht="12.75">
      <c r="A28" s="3">
        <v>38</v>
      </c>
      <c r="C28" s="3" t="s">
        <v>208</v>
      </c>
      <c r="D28" s="23" t="s">
        <v>152</v>
      </c>
    </row>
    <row r="29" ht="12.75">
      <c r="D29" s="23" t="s">
        <v>153</v>
      </c>
    </row>
    <row r="30" ht="12.75">
      <c r="D30" s="23" t="s">
        <v>134</v>
      </c>
    </row>
    <row r="32" ht="12.75">
      <c r="A32" s="3">
        <v>2005</v>
      </c>
    </row>
    <row r="33" spans="1:3" ht="12.75">
      <c r="A33" s="3">
        <v>5</v>
      </c>
      <c r="C33" s="3" t="s">
        <v>212</v>
      </c>
    </row>
    <row r="34" spans="1:3" ht="12.75">
      <c r="A34" s="3">
        <v>16</v>
      </c>
      <c r="C34" s="3" t="s">
        <v>221</v>
      </c>
    </row>
    <row r="35" spans="1:3" ht="12.75">
      <c r="A35" s="3">
        <v>22</v>
      </c>
      <c r="C35" s="3" t="s">
        <v>216</v>
      </c>
    </row>
    <row r="36" spans="1:3" ht="12.75">
      <c r="A36" s="3">
        <v>23</v>
      </c>
      <c r="B36" s="3" t="s">
        <v>363</v>
      </c>
      <c r="C36" s="3" t="s">
        <v>487</v>
      </c>
    </row>
    <row r="37" spans="1:3" ht="12.75">
      <c r="A37" s="3">
        <v>25</v>
      </c>
      <c r="B37" s="3" t="s">
        <v>361</v>
      </c>
      <c r="C37" s="3" t="s">
        <v>162</v>
      </c>
    </row>
    <row r="38" spans="1:3" ht="12.75">
      <c r="A38" s="3">
        <v>26</v>
      </c>
      <c r="B38" s="3" t="s">
        <v>375</v>
      </c>
      <c r="C38" s="3" t="s">
        <v>217</v>
      </c>
    </row>
    <row r="39" spans="1:3" ht="12.75">
      <c r="A39" s="3">
        <v>38</v>
      </c>
      <c r="C39" s="3" t="s">
        <v>208</v>
      </c>
    </row>
    <row r="40" spans="1:3" ht="12.75">
      <c r="A40" s="3">
        <v>41</v>
      </c>
      <c r="B40" s="3" t="s">
        <v>392</v>
      </c>
      <c r="C40" s="3" t="s">
        <v>222</v>
      </c>
    </row>
    <row r="41" spans="1:3" ht="12.75">
      <c r="A41" s="3">
        <v>49</v>
      </c>
      <c r="C41" s="3" t="s">
        <v>332</v>
      </c>
    </row>
    <row r="42" spans="1:3" ht="12.75">
      <c r="A42" s="3">
        <v>54</v>
      </c>
      <c r="C42" s="3" t="s">
        <v>219</v>
      </c>
    </row>
    <row r="43" spans="1:3" ht="12.75">
      <c r="A43" s="3">
        <v>57</v>
      </c>
      <c r="C43" s="3" t="s">
        <v>325</v>
      </c>
    </row>
    <row r="44" spans="1:3" ht="12.75">
      <c r="A44" s="3">
        <v>70</v>
      </c>
      <c r="B44" s="3" t="s">
        <v>370</v>
      </c>
      <c r="C44" s="3" t="s">
        <v>213</v>
      </c>
    </row>
    <row r="45" spans="1:3" ht="12.75">
      <c r="A45" s="3">
        <v>83</v>
      </c>
      <c r="C45" s="3" t="s">
        <v>326</v>
      </c>
    </row>
    <row r="46" spans="1:3" ht="12.75">
      <c r="A46" s="3">
        <v>87</v>
      </c>
      <c r="C46" s="3" t="s">
        <v>327</v>
      </c>
    </row>
    <row r="47" spans="1:3" ht="12.75">
      <c r="A47" s="3">
        <v>106</v>
      </c>
      <c r="B47" s="3" t="s">
        <v>364</v>
      </c>
      <c r="C47" s="3" t="s">
        <v>311</v>
      </c>
    </row>
    <row r="48" spans="1:3" ht="12.75">
      <c r="A48" s="3">
        <v>117</v>
      </c>
      <c r="B48" s="3" t="s">
        <v>369</v>
      </c>
      <c r="C48" s="3" t="s">
        <v>209</v>
      </c>
    </row>
    <row r="49" spans="1:3" ht="12.75">
      <c r="A49" s="3">
        <v>142</v>
      </c>
      <c r="B49" s="3" t="s">
        <v>383</v>
      </c>
      <c r="C49" s="3" t="s">
        <v>214</v>
      </c>
    </row>
    <row r="50" spans="1:3" ht="12.75">
      <c r="A50" s="3">
        <v>176</v>
      </c>
      <c r="B50" s="3" t="s">
        <v>367</v>
      </c>
      <c r="C50" s="3" t="s">
        <v>333</v>
      </c>
    </row>
    <row r="51" spans="1:3" ht="12.75">
      <c r="A51" s="3">
        <v>182</v>
      </c>
      <c r="B51" s="3" t="s">
        <v>368</v>
      </c>
      <c r="C51" s="3" t="s">
        <v>164</v>
      </c>
    </row>
    <row r="52" spans="1:3" ht="12.75">
      <c r="A52" s="3">
        <v>183</v>
      </c>
      <c r="C52" s="3" t="s">
        <v>223</v>
      </c>
    </row>
    <row r="53" spans="1:3" ht="12.75">
      <c r="A53" s="3">
        <v>197</v>
      </c>
      <c r="B53" s="3" t="s">
        <v>385</v>
      </c>
      <c r="C53" s="3" t="s">
        <v>215</v>
      </c>
    </row>
    <row r="54" spans="1:3" ht="12.75">
      <c r="A54" s="3">
        <v>221</v>
      </c>
      <c r="B54" s="3" t="s">
        <v>366</v>
      </c>
      <c r="C54" s="3" t="s">
        <v>211</v>
      </c>
    </row>
    <row r="55" spans="1:3" ht="12.75">
      <c r="A55" s="3">
        <v>231</v>
      </c>
      <c r="B55" s="3" t="s">
        <v>372</v>
      </c>
      <c r="C55" s="3" t="s">
        <v>224</v>
      </c>
    </row>
    <row r="56" spans="1:3" ht="12.75">
      <c r="A56" s="3">
        <v>239</v>
      </c>
      <c r="B56" s="3" t="s">
        <v>365</v>
      </c>
      <c r="C56" s="3" t="s">
        <v>464</v>
      </c>
    </row>
    <row r="57" spans="1:3" ht="12.75">
      <c r="A57" s="3">
        <v>246</v>
      </c>
      <c r="C57" s="3" t="s">
        <v>163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1:W37"/>
  <sheetViews>
    <sheetView zoomScalePageLayoutView="0" workbookViewId="0" topLeftCell="A1">
      <selection activeCell="A1" sqref="A1"/>
    </sheetView>
  </sheetViews>
  <sheetFormatPr defaultColWidth="9.140625" defaultRowHeight="12.75"/>
  <cols>
    <col min="1" max="1" width="3.00390625" style="15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23" width="4.140625" style="28" customWidth="1"/>
    <col min="24" max="16384" width="9.140625" style="28" customWidth="1"/>
  </cols>
  <sheetData>
    <row r="1" ht="11.25">
      <c r="L1" s="28" t="s">
        <v>7</v>
      </c>
    </row>
    <row r="2" ht="11.25">
      <c r="D2" s="24" t="s">
        <v>306</v>
      </c>
    </row>
    <row r="3" ht="11.25">
      <c r="D3" s="28" t="s">
        <v>556</v>
      </c>
    </row>
    <row r="4" spans="4:23" ht="11.25">
      <c r="D4" s="28" t="s">
        <v>114</v>
      </c>
      <c r="H4" s="140" t="s">
        <v>105</v>
      </c>
      <c r="I4" s="30"/>
      <c r="J4" s="30"/>
      <c r="K4" s="30"/>
      <c r="L4" s="30"/>
      <c r="M4" s="30"/>
      <c r="N4" s="30"/>
      <c r="O4" s="30"/>
      <c r="P4" s="30"/>
      <c r="Q4" s="30"/>
      <c r="R4" s="30"/>
      <c r="S4" s="30"/>
      <c r="T4" s="30"/>
      <c r="U4" s="30"/>
      <c r="V4" s="30"/>
      <c r="W4" s="31"/>
    </row>
    <row r="5" spans="4:23" ht="11.25">
      <c r="D5" s="192"/>
      <c r="H5" s="54" t="s">
        <v>116</v>
      </c>
      <c r="I5" s="235" t="s">
        <v>353</v>
      </c>
      <c r="J5" s="237"/>
      <c r="K5" s="236" t="s">
        <v>119</v>
      </c>
      <c r="L5" s="236"/>
      <c r="M5" s="236"/>
      <c r="N5" s="236"/>
      <c r="O5" s="236"/>
      <c r="P5" s="236"/>
      <c r="Q5" s="236"/>
      <c r="R5" s="235" t="s">
        <v>117</v>
      </c>
      <c r="S5" s="236"/>
      <c r="T5" s="53" t="s">
        <v>544</v>
      </c>
      <c r="U5" s="52"/>
      <c r="V5" s="53" t="s">
        <v>463</v>
      </c>
      <c r="W5" s="126"/>
    </row>
    <row r="6" spans="3:23" ht="11.25">
      <c r="C6" s="38"/>
      <c r="D6" s="127"/>
      <c r="E6" s="106"/>
      <c r="F6" s="116"/>
      <c r="G6" s="117" t="s">
        <v>0</v>
      </c>
      <c r="H6" s="42" t="s">
        <v>322</v>
      </c>
      <c r="I6" s="51" t="s">
        <v>322</v>
      </c>
      <c r="J6" s="51" t="s">
        <v>322</v>
      </c>
      <c r="K6" s="51" t="s">
        <v>99</v>
      </c>
      <c r="L6" s="51" t="s">
        <v>99</v>
      </c>
      <c r="M6" s="51" t="s">
        <v>99</v>
      </c>
      <c r="N6" s="51" t="s">
        <v>99</v>
      </c>
      <c r="O6" s="51" t="s">
        <v>99</v>
      </c>
      <c r="P6" s="51" t="s">
        <v>99</v>
      </c>
      <c r="Q6" s="51" t="s">
        <v>99</v>
      </c>
      <c r="R6" s="42"/>
      <c r="S6" s="42"/>
      <c r="T6" s="42"/>
      <c r="U6" s="42"/>
      <c r="V6" s="42"/>
      <c r="W6" s="42"/>
    </row>
    <row r="7" spans="3:23" ht="11.25">
      <c r="C7" s="40"/>
      <c r="D7" s="64"/>
      <c r="E7" s="57"/>
      <c r="F7" s="118"/>
      <c r="G7" s="119" t="s">
        <v>1</v>
      </c>
      <c r="H7" s="42">
        <v>135</v>
      </c>
      <c r="I7" s="42">
        <v>200</v>
      </c>
      <c r="J7" s="42">
        <v>200</v>
      </c>
      <c r="K7" s="42">
        <v>175</v>
      </c>
      <c r="L7" s="42">
        <v>175</v>
      </c>
      <c r="M7" s="42">
        <v>175</v>
      </c>
      <c r="N7" s="42">
        <v>175</v>
      </c>
      <c r="O7" s="42">
        <v>175</v>
      </c>
      <c r="P7" s="42">
        <v>175</v>
      </c>
      <c r="Q7" s="42">
        <v>175</v>
      </c>
      <c r="R7" s="42"/>
      <c r="S7" s="42"/>
      <c r="T7" s="42"/>
      <c r="U7" s="42"/>
      <c r="V7" s="42"/>
      <c r="W7" s="42"/>
    </row>
    <row r="8" spans="3:23" ht="11.25">
      <c r="C8" s="40"/>
      <c r="D8" s="64"/>
      <c r="E8" s="57"/>
      <c r="F8" s="118"/>
      <c r="G8" s="119" t="s">
        <v>2</v>
      </c>
      <c r="H8" s="42">
        <v>2</v>
      </c>
      <c r="I8" s="44">
        <v>2</v>
      </c>
      <c r="J8" s="44">
        <v>1</v>
      </c>
      <c r="K8" s="44">
        <v>15</v>
      </c>
      <c r="L8" s="44">
        <v>15</v>
      </c>
      <c r="M8" s="44">
        <v>15</v>
      </c>
      <c r="N8" s="44">
        <v>15</v>
      </c>
      <c r="O8" s="44">
        <v>10</v>
      </c>
      <c r="P8" s="44">
        <v>8</v>
      </c>
      <c r="Q8" s="44">
        <v>5</v>
      </c>
      <c r="R8" s="44"/>
      <c r="S8" s="44"/>
      <c r="T8" s="44"/>
      <c r="U8" s="44"/>
      <c r="V8" s="44"/>
      <c r="W8" s="44"/>
    </row>
    <row r="9" spans="3:23" ht="11.25">
      <c r="C9" s="61"/>
      <c r="D9" s="128"/>
      <c r="E9" s="57">
        <f>COUNTIF($H9:W9,"&gt;0")</f>
        <v>16</v>
      </c>
      <c r="F9" s="120"/>
      <c r="G9" s="121" t="s">
        <v>3</v>
      </c>
      <c r="H9" s="42">
        <v>13</v>
      </c>
      <c r="I9" s="42">
        <v>8</v>
      </c>
      <c r="J9" s="42">
        <v>8</v>
      </c>
      <c r="K9" s="42">
        <v>8</v>
      </c>
      <c r="L9" s="42">
        <v>8</v>
      </c>
      <c r="M9" s="42">
        <v>7</v>
      </c>
      <c r="N9" s="42">
        <v>7</v>
      </c>
      <c r="O9" s="42">
        <v>8</v>
      </c>
      <c r="P9" s="42">
        <v>8</v>
      </c>
      <c r="Q9" s="42">
        <v>7</v>
      </c>
      <c r="R9" s="42">
        <v>6</v>
      </c>
      <c r="S9" s="42">
        <v>4</v>
      </c>
      <c r="T9" s="42">
        <v>7</v>
      </c>
      <c r="U9" s="42">
        <v>6</v>
      </c>
      <c r="V9" s="42">
        <v>6</v>
      </c>
      <c r="W9" s="42">
        <v>6</v>
      </c>
    </row>
    <row r="10" spans="3:23" ht="37.5">
      <c r="C10" s="51" t="s">
        <v>256</v>
      </c>
      <c r="D10" s="125" t="s">
        <v>227</v>
      </c>
      <c r="E10" s="37" t="s">
        <v>4</v>
      </c>
      <c r="F10" s="114" t="s">
        <v>5</v>
      </c>
      <c r="G10" s="115" t="s">
        <v>6</v>
      </c>
      <c r="H10" s="150">
        <v>38205</v>
      </c>
      <c r="I10" s="37">
        <v>38219</v>
      </c>
      <c r="J10" s="37">
        <v>38219</v>
      </c>
      <c r="K10" s="37">
        <v>38226</v>
      </c>
      <c r="L10" s="37">
        <v>38226</v>
      </c>
      <c r="M10" s="37">
        <v>38226</v>
      </c>
      <c r="N10" s="37">
        <v>38226</v>
      </c>
      <c r="O10" s="37">
        <v>38227</v>
      </c>
      <c r="P10" s="37">
        <v>38227</v>
      </c>
      <c r="Q10" s="37">
        <v>38227</v>
      </c>
      <c r="R10" s="37">
        <v>38233</v>
      </c>
      <c r="S10" s="37">
        <v>38233</v>
      </c>
      <c r="T10" s="37">
        <v>38261</v>
      </c>
      <c r="U10" s="37">
        <v>38261</v>
      </c>
      <c r="V10" s="37">
        <v>38269</v>
      </c>
      <c r="W10" s="37">
        <v>38269</v>
      </c>
    </row>
    <row r="11" spans="2:23" ht="11.25">
      <c r="B11" s="151">
        <v>1</v>
      </c>
      <c r="C11" s="39">
        <v>25</v>
      </c>
      <c r="D11" s="38" t="s">
        <v>162</v>
      </c>
      <c r="E11" s="49">
        <f>COUNTA(H11:W11)+VLOOKUP(C11,'2005Season'!$AZ$11:$BD$30,5,FALSE)</f>
        <v>15</v>
      </c>
      <c r="F11" s="49">
        <f aca="true" t="shared" si="0" ref="F11:F29">MIN(INT(E11/10),3)</f>
        <v>1</v>
      </c>
      <c r="G11" s="147">
        <f>C_S_G($H11:W11,$H$9:W$9,csg_table,E$9,F11)</f>
        <v>0.8955026455026455</v>
      </c>
      <c r="H11" s="49">
        <v>8</v>
      </c>
      <c r="I11" s="49">
        <v>5</v>
      </c>
      <c r="J11" s="49">
        <v>1</v>
      </c>
      <c r="K11" s="49">
        <v>3</v>
      </c>
      <c r="L11" s="49">
        <v>3</v>
      </c>
      <c r="M11" s="49">
        <v>6</v>
      </c>
      <c r="N11" s="49">
        <v>1</v>
      </c>
      <c r="O11" s="49">
        <v>3</v>
      </c>
      <c r="P11" s="49">
        <v>2</v>
      </c>
      <c r="Q11" s="49">
        <v>1</v>
      </c>
      <c r="R11" s="49"/>
      <c r="S11" s="49"/>
      <c r="T11" s="49">
        <v>1</v>
      </c>
      <c r="U11" s="49">
        <v>2</v>
      </c>
      <c r="V11" s="49"/>
      <c r="W11" s="49"/>
    </row>
    <row r="12" spans="2:23" ht="11.25">
      <c r="B12" s="151">
        <v>2</v>
      </c>
      <c r="C12" s="41">
        <v>182</v>
      </c>
      <c r="D12" s="40" t="s">
        <v>164</v>
      </c>
      <c r="E12" s="33">
        <f>COUNTA(H12:W12)+VLOOKUP(C12,'2005Season'!$AZ$11:$BD$30,5,FALSE)</f>
        <v>12</v>
      </c>
      <c r="F12" s="33">
        <f t="shared" si="0"/>
        <v>1</v>
      </c>
      <c r="G12" s="148">
        <f>C_S_G($H12:W12,$H$9:W$9,csg_table,E$9,F12)</f>
        <v>0.8877887788778878</v>
      </c>
      <c r="H12" s="33">
        <v>5</v>
      </c>
      <c r="I12" s="33"/>
      <c r="J12" s="33"/>
      <c r="K12" s="33">
        <v>1</v>
      </c>
      <c r="L12" s="33">
        <v>2</v>
      </c>
      <c r="M12" s="33">
        <v>3</v>
      </c>
      <c r="N12" s="33">
        <v>3</v>
      </c>
      <c r="O12" s="33">
        <v>2</v>
      </c>
      <c r="P12" s="33">
        <v>4</v>
      </c>
      <c r="Q12" s="33">
        <v>2</v>
      </c>
      <c r="R12" s="33"/>
      <c r="S12" s="33"/>
      <c r="T12" s="33"/>
      <c r="U12" s="33"/>
      <c r="V12" s="33">
        <v>3</v>
      </c>
      <c r="W12" s="33">
        <v>2</v>
      </c>
    </row>
    <row r="13" spans="2:23" ht="11.25">
      <c r="B13" s="151">
        <v>3</v>
      </c>
      <c r="C13" s="41">
        <v>23</v>
      </c>
      <c r="D13" s="40" t="s">
        <v>309</v>
      </c>
      <c r="E13" s="33">
        <f>COUNTA(H13:W13)+VLOOKUP(C13,'2005Season'!$AZ$11:$BD$30,5,FALSE)</f>
        <v>11</v>
      </c>
      <c r="F13" s="33">
        <f t="shared" si="0"/>
        <v>1</v>
      </c>
      <c r="G13" s="148">
        <f>C_S_G($H13:W13,$H$9:W$9,csg_table,E$9,F13)</f>
        <v>0.8847736625514403</v>
      </c>
      <c r="H13" s="33">
        <v>11</v>
      </c>
      <c r="I13" s="33"/>
      <c r="J13" s="33"/>
      <c r="K13" s="33">
        <v>6</v>
      </c>
      <c r="L13" s="33">
        <v>1</v>
      </c>
      <c r="M13" s="33">
        <v>2</v>
      </c>
      <c r="N13" s="33">
        <v>2</v>
      </c>
      <c r="O13" s="33">
        <v>1</v>
      </c>
      <c r="P13" s="33">
        <v>3</v>
      </c>
      <c r="Q13" s="33">
        <v>4</v>
      </c>
      <c r="R13" s="33"/>
      <c r="S13" s="33"/>
      <c r="T13" s="33"/>
      <c r="U13" s="33"/>
      <c r="V13" s="33"/>
      <c r="W13" s="33"/>
    </row>
    <row r="14" spans="2:23" ht="11.25">
      <c r="B14" s="151">
        <v>4</v>
      </c>
      <c r="C14" s="41">
        <v>142</v>
      </c>
      <c r="D14" s="40" t="s">
        <v>214</v>
      </c>
      <c r="E14" s="33">
        <f>COUNTA(H14:W14)+VLOOKUP(C14,'2005Season'!$AZ$11:$BD$30,5,FALSE)</f>
        <v>15</v>
      </c>
      <c r="F14" s="33">
        <f t="shared" si="0"/>
        <v>1</v>
      </c>
      <c r="G14" s="148">
        <f>C_S_G($H14:W14,$H$9:W$9,csg_table,E$9,F14)</f>
        <v>0.8531746031746031</v>
      </c>
      <c r="H14" s="33">
        <v>10</v>
      </c>
      <c r="I14" s="33">
        <v>7</v>
      </c>
      <c r="J14" s="33">
        <v>4</v>
      </c>
      <c r="K14" s="33">
        <v>2</v>
      </c>
      <c r="L14" s="33">
        <v>4</v>
      </c>
      <c r="M14" s="33">
        <v>1</v>
      </c>
      <c r="N14" s="33">
        <v>4</v>
      </c>
      <c r="O14" s="33">
        <v>5</v>
      </c>
      <c r="P14" s="33">
        <v>1</v>
      </c>
      <c r="Q14" s="33">
        <v>3</v>
      </c>
      <c r="R14" s="33">
        <v>1</v>
      </c>
      <c r="S14" s="33"/>
      <c r="T14" s="33">
        <v>4</v>
      </c>
      <c r="U14" s="33"/>
      <c r="V14" s="33"/>
      <c r="W14" s="33"/>
    </row>
    <row r="15" spans="2:23" ht="11.25">
      <c r="B15" s="151">
        <v>5</v>
      </c>
      <c r="C15" s="41">
        <v>176</v>
      </c>
      <c r="D15" s="40" t="s">
        <v>333</v>
      </c>
      <c r="E15" s="33">
        <f>COUNTA(H15:W15)+VLOOKUP(C15,'2005Season'!$AZ$11:$BD$30,5,FALSE)</f>
        <v>12</v>
      </c>
      <c r="F15" s="33">
        <f t="shared" si="0"/>
        <v>1</v>
      </c>
      <c r="G15" s="148">
        <f>C_S_G($H15:W15,$H$9:W$9,csg_table,E$9,F15)</f>
        <v>0.808868501529052</v>
      </c>
      <c r="H15" s="33">
        <v>4</v>
      </c>
      <c r="I15" s="33">
        <v>1</v>
      </c>
      <c r="J15" s="33">
        <v>2</v>
      </c>
      <c r="K15" s="33">
        <v>5</v>
      </c>
      <c r="L15" s="33">
        <v>6</v>
      </c>
      <c r="M15" s="33">
        <v>7</v>
      </c>
      <c r="N15" s="33">
        <v>5</v>
      </c>
      <c r="O15" s="33">
        <v>4</v>
      </c>
      <c r="P15" s="33">
        <v>5</v>
      </c>
      <c r="Q15" s="33">
        <v>6</v>
      </c>
      <c r="R15" s="33"/>
      <c r="S15" s="33"/>
      <c r="T15" s="33"/>
      <c r="U15" s="33"/>
      <c r="V15" s="33"/>
      <c r="W15" s="33"/>
    </row>
    <row r="16" spans="2:23" ht="11.25">
      <c r="B16" s="151">
        <v>6</v>
      </c>
      <c r="C16" s="41">
        <v>41</v>
      </c>
      <c r="D16" s="40" t="s">
        <v>222</v>
      </c>
      <c r="E16" s="33">
        <f>COUNTA(H16:W16)+VLOOKUP(C16,'2005Season'!$AZ$11:$BD$30,5,FALSE)</f>
        <v>9</v>
      </c>
      <c r="F16" s="33">
        <f t="shared" si="0"/>
        <v>0</v>
      </c>
      <c r="G16" s="148">
        <f>C_S_G($H16:W16,$H$9:W$9,csg_table,E$9,F16)</f>
        <v>0.7729166666666667</v>
      </c>
      <c r="H16" s="33">
        <v>3</v>
      </c>
      <c r="I16" s="33">
        <v>6</v>
      </c>
      <c r="J16" s="33">
        <v>8</v>
      </c>
      <c r="K16" s="33"/>
      <c r="L16" s="33"/>
      <c r="M16" s="33"/>
      <c r="N16" s="33"/>
      <c r="O16" s="33"/>
      <c r="P16" s="33"/>
      <c r="Q16" s="33"/>
      <c r="R16" s="33"/>
      <c r="S16" s="33"/>
      <c r="T16" s="33">
        <v>5</v>
      </c>
      <c r="U16" s="33">
        <v>4</v>
      </c>
      <c r="V16" s="33">
        <v>4</v>
      </c>
      <c r="W16" s="33">
        <v>3</v>
      </c>
    </row>
    <row r="17" spans="2:23" ht="11.25">
      <c r="B17" s="151">
        <v>7</v>
      </c>
      <c r="C17" s="41">
        <v>117</v>
      </c>
      <c r="D17" s="40" t="s">
        <v>209</v>
      </c>
      <c r="E17" s="33">
        <f>COUNTA(H17:W17)+VLOOKUP(C17,'2005Season'!$AZ$11:$BD$30,5,FALSE)</f>
        <v>14</v>
      </c>
      <c r="F17" s="33">
        <f t="shared" si="0"/>
        <v>1</v>
      </c>
      <c r="G17" s="148">
        <f>C_S_G($H17:W17,$H$9:W$9,csg_table,E$9,F17)</f>
        <v>0.7462482946793997</v>
      </c>
      <c r="H17" s="33" t="s">
        <v>103</v>
      </c>
      <c r="I17" s="33">
        <v>2</v>
      </c>
      <c r="J17" s="33">
        <v>5</v>
      </c>
      <c r="K17" s="33">
        <v>7</v>
      </c>
      <c r="L17" s="33">
        <v>5</v>
      </c>
      <c r="M17" s="33">
        <v>4</v>
      </c>
      <c r="N17" s="33">
        <v>6</v>
      </c>
      <c r="O17" s="33">
        <v>7</v>
      </c>
      <c r="P17" s="33">
        <v>6</v>
      </c>
      <c r="Q17" s="33">
        <v>5</v>
      </c>
      <c r="R17" s="33">
        <v>5</v>
      </c>
      <c r="S17" s="33">
        <v>4</v>
      </c>
      <c r="T17" s="33"/>
      <c r="U17" s="33"/>
      <c r="V17" s="33"/>
      <c r="W17" s="33"/>
    </row>
    <row r="18" spans="2:23" ht="11.25">
      <c r="B18" s="151">
        <v>8</v>
      </c>
      <c r="C18" s="51">
        <v>38</v>
      </c>
      <c r="D18" s="61" t="s">
        <v>208</v>
      </c>
      <c r="E18" s="35">
        <f>COUNTA(H18:W18)+VLOOKUP(C18,'2005Season'!$AZ$11:$BD$30,5,FALSE)</f>
        <v>12</v>
      </c>
      <c r="F18" s="35">
        <f t="shared" si="0"/>
        <v>1</v>
      </c>
      <c r="G18" s="149">
        <f>C_S_G($H18:W18,$H$9:W$9,csg_table,E$9,F18)</f>
        <v>0.6770833333333334</v>
      </c>
      <c r="H18" s="35">
        <v>12</v>
      </c>
      <c r="I18" s="35">
        <v>8</v>
      </c>
      <c r="J18" s="35">
        <v>7</v>
      </c>
      <c r="K18" s="35"/>
      <c r="L18" s="35"/>
      <c r="M18" s="35"/>
      <c r="N18" s="35"/>
      <c r="O18" s="35">
        <v>8</v>
      </c>
      <c r="P18" s="35">
        <v>7</v>
      </c>
      <c r="Q18" s="35">
        <v>7</v>
      </c>
      <c r="R18" s="35" t="s">
        <v>103</v>
      </c>
      <c r="S18" s="35"/>
      <c r="T18" s="35">
        <v>7</v>
      </c>
      <c r="U18" s="35">
        <v>6</v>
      </c>
      <c r="V18" s="35">
        <v>5</v>
      </c>
      <c r="W18" s="35" t="s">
        <v>103</v>
      </c>
    </row>
    <row r="19" spans="2:23" ht="11.25">
      <c r="B19" s="151"/>
      <c r="C19" s="41">
        <v>49</v>
      </c>
      <c r="D19" s="40" t="s">
        <v>332</v>
      </c>
      <c r="E19" s="33">
        <f>COUNTA(H19:W19)+VLOOKUP(C19,'2005Season'!$AZ$11:$BD$30,5,FALSE)</f>
        <v>1</v>
      </c>
      <c r="F19" s="33">
        <f t="shared" si="0"/>
        <v>0</v>
      </c>
      <c r="G19" s="148">
        <f>C_S_G($H19:W19,$H$9:W$9,csg_table,E$9,F19)</f>
        <v>1</v>
      </c>
      <c r="H19" s="33">
        <v>1</v>
      </c>
      <c r="I19" s="33"/>
      <c r="J19" s="33"/>
      <c r="K19" s="33"/>
      <c r="L19" s="33"/>
      <c r="M19" s="33"/>
      <c r="N19" s="33"/>
      <c r="O19" s="33"/>
      <c r="P19" s="33"/>
      <c r="Q19" s="33"/>
      <c r="R19" s="33"/>
      <c r="S19" s="33"/>
      <c r="T19" s="33"/>
      <c r="U19" s="33"/>
      <c r="V19" s="33"/>
      <c r="W19" s="33"/>
    </row>
    <row r="20" spans="2:23" ht="11.25">
      <c r="B20" s="151"/>
      <c r="C20" s="41">
        <v>221</v>
      </c>
      <c r="D20" s="40" t="s">
        <v>211</v>
      </c>
      <c r="E20" s="33">
        <f>COUNTA(H20:W20)+VLOOKUP(C20,'2005Season'!$AZ$11:$BD$30,5,FALSE)</f>
        <v>7</v>
      </c>
      <c r="F20" s="33">
        <f t="shared" si="0"/>
        <v>0</v>
      </c>
      <c r="G20" s="148">
        <f>C_S_G($H20:W20,$H$9:W$9,csg_table,E$9,F20)</f>
        <v>0.9050445103857567</v>
      </c>
      <c r="H20" s="33">
        <v>2</v>
      </c>
      <c r="I20" s="33">
        <v>3</v>
      </c>
      <c r="J20" s="33">
        <v>3</v>
      </c>
      <c r="K20" s="33"/>
      <c r="L20" s="33"/>
      <c r="M20" s="33"/>
      <c r="N20" s="33"/>
      <c r="O20" s="33"/>
      <c r="P20" s="33"/>
      <c r="Q20" s="33"/>
      <c r="R20" s="33">
        <v>2</v>
      </c>
      <c r="S20" s="33">
        <v>1</v>
      </c>
      <c r="T20" s="33"/>
      <c r="U20" s="33"/>
      <c r="V20" s="33"/>
      <c r="W20" s="33"/>
    </row>
    <row r="21" spans="2:23" ht="11.25">
      <c r="B21" s="151"/>
      <c r="C21" s="41">
        <v>231</v>
      </c>
      <c r="D21" s="40" t="s">
        <v>224</v>
      </c>
      <c r="E21" s="33">
        <f>COUNTA(H21:W21)+VLOOKUP(C21,'2005Season'!$AZ$11:$BD$30,5,FALSE)</f>
        <v>7</v>
      </c>
      <c r="F21" s="33">
        <f t="shared" si="0"/>
        <v>0</v>
      </c>
      <c r="G21" s="148">
        <f>C_S_G($H21:W21,$H$9:W$9,csg_table,E$9,F21)</f>
        <v>0.8630952380952381</v>
      </c>
      <c r="H21" s="33">
        <v>6</v>
      </c>
      <c r="I21" s="33"/>
      <c r="J21" s="33"/>
      <c r="K21" s="33"/>
      <c r="L21" s="33"/>
      <c r="M21" s="33"/>
      <c r="N21" s="33"/>
      <c r="O21" s="33"/>
      <c r="P21" s="33"/>
      <c r="Q21" s="33"/>
      <c r="R21" s="33"/>
      <c r="S21" s="33"/>
      <c r="T21" s="33">
        <v>2</v>
      </c>
      <c r="U21" s="33">
        <v>1</v>
      </c>
      <c r="V21" s="33">
        <v>2</v>
      </c>
      <c r="W21" s="33">
        <v>4</v>
      </c>
    </row>
    <row r="22" spans="2:23" ht="11.25">
      <c r="B22" s="151"/>
      <c r="C22" s="41">
        <v>54</v>
      </c>
      <c r="D22" s="40" t="s">
        <v>219</v>
      </c>
      <c r="E22" s="33">
        <f>COUNTA(H22:W22)+VLOOKUP(C22,'2005Season'!$AZ$11:$BD$30,5,FALSE)</f>
        <v>3</v>
      </c>
      <c r="F22" s="33">
        <f t="shared" si="0"/>
        <v>0</v>
      </c>
      <c r="G22" s="148">
        <f>C_S_G($H22:W22,$H$9:W$9,csg_table,E$9,F22)</f>
        <v>0.8412698412698413</v>
      </c>
      <c r="H22" s="33"/>
      <c r="I22" s="33"/>
      <c r="J22" s="33"/>
      <c r="K22" s="33"/>
      <c r="L22" s="33"/>
      <c r="M22" s="33"/>
      <c r="N22" s="33"/>
      <c r="O22" s="33"/>
      <c r="P22" s="33"/>
      <c r="Q22" s="33"/>
      <c r="R22" s="33"/>
      <c r="S22" s="33"/>
      <c r="T22" s="33">
        <v>3</v>
      </c>
      <c r="U22" s="33">
        <v>3</v>
      </c>
      <c r="V22" s="33"/>
      <c r="W22" s="33"/>
    </row>
    <row r="23" spans="2:23" ht="11.25">
      <c r="B23" s="151"/>
      <c r="C23" s="41">
        <v>106</v>
      </c>
      <c r="D23" s="40" t="s">
        <v>311</v>
      </c>
      <c r="E23" s="33">
        <f>COUNTA(H23:W23)+VLOOKUP(C23,'2005Season'!$AZ$11:$BD$30,5,FALSE)</f>
        <v>4</v>
      </c>
      <c r="F23" s="33">
        <f t="shared" si="0"/>
        <v>0</v>
      </c>
      <c r="G23" s="148">
        <f>C_S_G($H23:W23,$H$9:W$9,csg_table,E$9,F23)</f>
        <v>0.8058252427184466</v>
      </c>
      <c r="H23" s="33"/>
      <c r="I23" s="33"/>
      <c r="J23" s="33"/>
      <c r="K23" s="33"/>
      <c r="L23" s="33"/>
      <c r="M23" s="33"/>
      <c r="N23" s="33"/>
      <c r="O23" s="33"/>
      <c r="P23" s="33"/>
      <c r="Q23" s="33"/>
      <c r="R23" s="33">
        <v>4</v>
      </c>
      <c r="S23" s="33">
        <v>2</v>
      </c>
      <c r="T23" s="33"/>
      <c r="U23" s="33"/>
      <c r="V23" s="33"/>
      <c r="W23" s="33"/>
    </row>
    <row r="24" spans="2:23" ht="11.25">
      <c r="B24" s="151"/>
      <c r="C24" s="41">
        <v>70</v>
      </c>
      <c r="D24" s="40" t="s">
        <v>213</v>
      </c>
      <c r="E24" s="33">
        <f>COUNTA(H24:W24)+VLOOKUP(C24,'2005Season'!$AZ$11:$BD$30,5,FALSE)</f>
        <v>7</v>
      </c>
      <c r="F24" s="33">
        <f>MIN(INT(E24/10),3)</f>
        <v>0</v>
      </c>
      <c r="G24" s="148">
        <f>C_S_G($H24:W24,$H$9:W$9,csg_table,E$9,F24)</f>
        <v>0.7626112759643917</v>
      </c>
      <c r="H24" s="33">
        <v>9</v>
      </c>
      <c r="I24" s="33">
        <v>4</v>
      </c>
      <c r="J24" s="33">
        <v>6</v>
      </c>
      <c r="K24" s="33"/>
      <c r="L24" s="33"/>
      <c r="M24" s="33"/>
      <c r="N24" s="33"/>
      <c r="O24" s="33"/>
      <c r="P24" s="33"/>
      <c r="Q24" s="33"/>
      <c r="R24" s="33">
        <v>3</v>
      </c>
      <c r="S24" s="33">
        <v>3</v>
      </c>
      <c r="T24" s="33"/>
      <c r="U24" s="33"/>
      <c r="V24" s="33"/>
      <c r="W24" s="33"/>
    </row>
    <row r="25" spans="2:23" ht="11.25">
      <c r="B25" s="151"/>
      <c r="C25" s="41">
        <v>197</v>
      </c>
      <c r="D25" s="40" t="s">
        <v>215</v>
      </c>
      <c r="E25" s="33">
        <f>COUNTA(H25:W25)+VLOOKUP(C25,'2005Season'!$AZ$11:$BD$30,5,FALSE)</f>
        <v>6</v>
      </c>
      <c r="F25" s="33">
        <f t="shared" si="0"/>
        <v>0</v>
      </c>
      <c r="G25" s="148">
        <f>C_S_G($H25:W25,$H$9:W$9,csg_table,E$9,F25)</f>
        <v>0.7142857142857143</v>
      </c>
      <c r="H25" s="33">
        <v>7</v>
      </c>
      <c r="I25" s="33"/>
      <c r="J25" s="33"/>
      <c r="K25" s="33"/>
      <c r="L25" s="33"/>
      <c r="M25" s="33"/>
      <c r="N25" s="33"/>
      <c r="O25" s="33"/>
      <c r="P25" s="33"/>
      <c r="Q25" s="33"/>
      <c r="R25" s="33"/>
      <c r="S25" s="33"/>
      <c r="T25" s="33">
        <v>6</v>
      </c>
      <c r="U25" s="33">
        <v>5</v>
      </c>
      <c r="V25" s="33">
        <v>6</v>
      </c>
      <c r="W25" s="33">
        <v>5</v>
      </c>
    </row>
    <row r="26" spans="2:23" ht="11.25">
      <c r="B26" s="151"/>
      <c r="C26" s="41">
        <v>183</v>
      </c>
      <c r="D26" s="40" t="s">
        <v>223</v>
      </c>
      <c r="E26" s="33">
        <f>COUNTA(H26:W26)+VLOOKUP(C26,'2005Season'!$AZ$11:$BD$30,5,FALSE)</f>
        <v>7</v>
      </c>
      <c r="F26" s="33">
        <f t="shared" si="0"/>
        <v>0</v>
      </c>
      <c r="G26" s="148">
        <f>C_S_G($H26:W26,$H$9:W$9,csg_table,E$9,F26)</f>
        <v>0.7166666666666667</v>
      </c>
      <c r="H26" s="33"/>
      <c r="I26" s="33"/>
      <c r="J26" s="33"/>
      <c r="K26" s="33">
        <v>4</v>
      </c>
      <c r="L26" s="33">
        <v>7</v>
      </c>
      <c r="M26" s="33">
        <v>5</v>
      </c>
      <c r="N26" s="33">
        <v>7</v>
      </c>
      <c r="O26" s="33">
        <v>6</v>
      </c>
      <c r="P26" s="33">
        <v>8</v>
      </c>
      <c r="Q26" s="33"/>
      <c r="R26" s="33"/>
      <c r="S26" s="33"/>
      <c r="T26" s="33"/>
      <c r="U26" s="33"/>
      <c r="V26" s="33"/>
      <c r="W26" s="33"/>
    </row>
    <row r="27" spans="2:23" ht="11.25">
      <c r="B27" s="151"/>
      <c r="C27" s="41">
        <v>5</v>
      </c>
      <c r="D27" s="40" t="s">
        <v>212</v>
      </c>
      <c r="E27" s="33">
        <f>COUNTA(H27:W27)+VLOOKUP(C27,'2005Season'!$AZ$11:$BD$30,5,FALSE)</f>
        <v>3</v>
      </c>
      <c r="F27" s="33">
        <f t="shared" si="0"/>
        <v>0</v>
      </c>
      <c r="G27" s="148">
        <f>C_S_G($H27:W27,$H$9:W$9,csg_table,E$9,F27)</f>
        <v>0.6621621621621622</v>
      </c>
      <c r="H27" s="33"/>
      <c r="I27" s="33"/>
      <c r="J27" s="33"/>
      <c r="K27" s="33">
        <v>8</v>
      </c>
      <c r="L27" s="33" t="s">
        <v>103</v>
      </c>
      <c r="M27" s="33"/>
      <c r="N27" s="33"/>
      <c r="O27" s="33"/>
      <c r="P27" s="33"/>
      <c r="Q27" s="33"/>
      <c r="R27" s="33"/>
      <c r="S27" s="33"/>
      <c r="T27" s="33"/>
      <c r="U27" s="33"/>
      <c r="V27" s="33"/>
      <c r="W27" s="33"/>
    </row>
    <row r="28" spans="2:23" ht="11.25">
      <c r="B28" s="151"/>
      <c r="C28" s="41">
        <v>26</v>
      </c>
      <c r="D28" s="40" t="s">
        <v>217</v>
      </c>
      <c r="E28" s="33">
        <f>COUNTA(H28:W28)+VLOOKUP(C28,'2005Season'!$AZ$11:$BD$30,5,FALSE)</f>
        <v>2</v>
      </c>
      <c r="F28" s="33">
        <f t="shared" si="0"/>
        <v>0</v>
      </c>
      <c r="G28" s="148">
        <f>C_S_G($H28:W28,$H$9:W$9,csg_table,E$9,F28)</f>
        <v>0</v>
      </c>
      <c r="H28" s="33"/>
      <c r="I28" s="33"/>
      <c r="J28" s="33"/>
      <c r="K28" s="33"/>
      <c r="L28" s="33"/>
      <c r="M28" s="33"/>
      <c r="N28" s="33"/>
      <c r="O28" s="33"/>
      <c r="P28" s="33"/>
      <c r="Q28" s="33"/>
      <c r="R28" s="33"/>
      <c r="S28" s="33"/>
      <c r="T28" s="33"/>
      <c r="U28" s="33"/>
      <c r="V28" s="33"/>
      <c r="W28" s="33"/>
    </row>
    <row r="29" spans="3:23" ht="11.25">
      <c r="C29" s="51">
        <v>16</v>
      </c>
      <c r="D29" s="61" t="s">
        <v>221</v>
      </c>
      <c r="E29" s="35">
        <f>COUNTA(H29:W29)+VLOOKUP(C29,'2005Season'!$AZ$11:$BD$30,5,FALSE)</f>
        <v>0</v>
      </c>
      <c r="F29" s="35">
        <f t="shared" si="0"/>
        <v>0</v>
      </c>
      <c r="G29" s="149">
        <f>C_S_G($H29:W29,$H$9:W$9,csg_table,E$9,F29)</f>
        <v>0</v>
      </c>
      <c r="H29" s="35"/>
      <c r="I29" s="35"/>
      <c r="J29" s="35"/>
      <c r="K29" s="35"/>
      <c r="L29" s="35"/>
      <c r="M29" s="35"/>
      <c r="N29" s="35"/>
      <c r="O29" s="35"/>
      <c r="P29" s="35"/>
      <c r="Q29" s="35"/>
      <c r="R29" s="35"/>
      <c r="S29" s="35"/>
      <c r="T29" s="35"/>
      <c r="U29" s="35"/>
      <c r="V29" s="35"/>
      <c r="W29" s="35"/>
    </row>
    <row r="31" ht="11.25">
      <c r="D31" s="28" t="s">
        <v>553</v>
      </c>
    </row>
    <row r="32" ht="11.25">
      <c r="D32" s="28" t="s">
        <v>554</v>
      </c>
    </row>
    <row r="37" ht="11.25">
      <c r="L37" s="28" t="s">
        <v>7</v>
      </c>
    </row>
  </sheetData>
  <sheetProtection/>
  <mergeCells count="3">
    <mergeCell ref="K5:Q5"/>
    <mergeCell ref="R5:S5"/>
    <mergeCell ref="I5:J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6"/>
  <dimension ref="A2:N36"/>
  <sheetViews>
    <sheetView zoomScalePageLayoutView="0" workbookViewId="0" topLeftCell="A1">
      <selection activeCell="A1" sqref="A1"/>
    </sheetView>
  </sheetViews>
  <sheetFormatPr defaultColWidth="9.140625" defaultRowHeight="12.75"/>
  <cols>
    <col min="1" max="1" width="4.57421875" style="28" customWidth="1"/>
    <col min="2" max="2" width="4.7109375" style="25" customWidth="1"/>
    <col min="3" max="3" width="28.7109375" style="28" customWidth="1"/>
    <col min="4" max="4" width="5.140625" style="25" bestFit="1" customWidth="1"/>
    <col min="5" max="5" width="7.421875" style="25" customWidth="1"/>
    <col min="6" max="6" width="8.57421875" style="28" bestFit="1" customWidth="1"/>
    <col min="7" max="11" width="6.7109375" style="28" customWidth="1"/>
    <col min="12" max="16384" width="9.140625" style="28" customWidth="1"/>
  </cols>
  <sheetData>
    <row r="2" spans="3:11" ht="15.75">
      <c r="C2" s="72" t="s">
        <v>84</v>
      </c>
      <c r="D2" s="48"/>
      <c r="E2" s="48"/>
      <c r="F2" s="25"/>
      <c r="G2" s="25"/>
      <c r="H2" s="27"/>
      <c r="I2" s="25"/>
      <c r="J2" s="25"/>
      <c r="K2" s="25"/>
    </row>
    <row r="3" spans="3:11" ht="11.25">
      <c r="C3" s="28" t="s">
        <v>502</v>
      </c>
      <c r="D3" s="48"/>
      <c r="E3" s="48"/>
      <c r="F3" s="25"/>
      <c r="G3" s="25"/>
      <c r="H3" s="27"/>
      <c r="I3" s="25"/>
      <c r="J3" s="25"/>
      <c r="K3" s="25"/>
    </row>
    <row r="4" spans="6:11" ht="11.25">
      <c r="F4" s="25"/>
      <c r="G4" s="25"/>
      <c r="H4" s="27"/>
      <c r="I4" s="25"/>
      <c r="J4" s="25"/>
      <c r="K4" s="25"/>
    </row>
    <row r="5" spans="2:14" ht="11.25">
      <c r="B5" s="101"/>
      <c r="C5" s="91"/>
      <c r="D5" s="92">
        <f>COUNT(G5:K5)</f>
        <v>5</v>
      </c>
      <c r="E5" s="92"/>
      <c r="F5" s="93" t="s">
        <v>3</v>
      </c>
      <c r="G5" s="92">
        <v>13</v>
      </c>
      <c r="H5" s="92">
        <v>12</v>
      </c>
      <c r="I5" s="92">
        <v>18</v>
      </c>
      <c r="J5" s="92">
        <v>9</v>
      </c>
      <c r="K5" s="92">
        <v>6</v>
      </c>
      <c r="L5" s="77"/>
      <c r="M5" s="151"/>
      <c r="N5" s="151"/>
    </row>
    <row r="6" spans="2:14" ht="11.25">
      <c r="B6" s="85" t="s">
        <v>256</v>
      </c>
      <c r="C6" s="86" t="s">
        <v>227</v>
      </c>
      <c r="D6" s="86" t="s">
        <v>4</v>
      </c>
      <c r="E6" s="86" t="s">
        <v>5</v>
      </c>
      <c r="F6" s="87" t="s">
        <v>6</v>
      </c>
      <c r="G6" s="88" t="s">
        <v>85</v>
      </c>
      <c r="H6" s="88" t="s">
        <v>86</v>
      </c>
      <c r="I6" s="88" t="s">
        <v>87</v>
      </c>
      <c r="J6" s="88" t="s">
        <v>88</v>
      </c>
      <c r="K6" s="88" t="s">
        <v>89</v>
      </c>
      <c r="L6" s="77"/>
      <c r="M6" s="151"/>
      <c r="N6" s="151"/>
    </row>
    <row r="7" spans="1:14" ht="11.25">
      <c r="A7" s="28">
        <v>1</v>
      </c>
      <c r="B7" s="81">
        <v>23</v>
      </c>
      <c r="C7" s="132" t="s">
        <v>487</v>
      </c>
      <c r="D7" s="82">
        <f aca="true" t="shared" si="0" ref="D7:D24">COUNT(G7:K7)</f>
        <v>4</v>
      </c>
      <c r="E7" s="82">
        <f aca="true" t="shared" si="1" ref="E7:E24">IF(D7&gt;3,1,0)</f>
        <v>1</v>
      </c>
      <c r="F7" s="89">
        <f aca="true" t="shared" si="2" ref="F7:F24">C_S_G(G7:K7,G$5:K$5,csg_table,D$5,E7)</f>
        <v>0.9762845849802372</v>
      </c>
      <c r="G7" s="90">
        <v>2</v>
      </c>
      <c r="H7" s="90">
        <v>1</v>
      </c>
      <c r="I7" s="90">
        <v>4</v>
      </c>
      <c r="J7" s="90">
        <v>1</v>
      </c>
      <c r="K7" s="90"/>
      <c r="L7" s="77"/>
      <c r="M7" s="67"/>
      <c r="N7" s="67"/>
    </row>
    <row r="8" spans="1:14" ht="11.25">
      <c r="A8" s="28">
        <v>2</v>
      </c>
      <c r="B8" s="81">
        <v>25</v>
      </c>
      <c r="C8" s="94" t="s">
        <v>162</v>
      </c>
      <c r="D8" s="82">
        <f t="shared" si="0"/>
        <v>4</v>
      </c>
      <c r="E8" s="82">
        <f t="shared" si="1"/>
        <v>1</v>
      </c>
      <c r="F8" s="89">
        <f t="shared" si="2"/>
        <v>0.9310344827586207</v>
      </c>
      <c r="G8" s="90">
        <v>3</v>
      </c>
      <c r="H8" s="90">
        <v>2</v>
      </c>
      <c r="I8" s="90">
        <v>2</v>
      </c>
      <c r="J8" s="90">
        <v>2</v>
      </c>
      <c r="K8" s="90"/>
      <c r="L8" s="77"/>
      <c r="M8" s="67"/>
      <c r="N8" s="67"/>
    </row>
    <row r="9" spans="1:14" ht="11.25">
      <c r="A9" s="28">
        <v>3</v>
      </c>
      <c r="B9" s="81">
        <v>182</v>
      </c>
      <c r="C9" s="94" t="s">
        <v>164</v>
      </c>
      <c r="D9" s="82">
        <f t="shared" si="0"/>
        <v>5</v>
      </c>
      <c r="E9" s="82">
        <f t="shared" si="1"/>
        <v>1</v>
      </c>
      <c r="F9" s="89">
        <f t="shared" si="2"/>
        <v>0.8255451713395638</v>
      </c>
      <c r="G9" s="90">
        <v>10</v>
      </c>
      <c r="H9" s="90">
        <v>6</v>
      </c>
      <c r="I9" s="90">
        <v>6</v>
      </c>
      <c r="J9" s="90">
        <v>3</v>
      </c>
      <c r="K9" s="90">
        <v>2</v>
      </c>
      <c r="L9" s="77"/>
      <c r="M9" s="67"/>
      <c r="N9" s="67"/>
    </row>
    <row r="10" spans="1:14" ht="11.25">
      <c r="A10" s="28">
        <v>4</v>
      </c>
      <c r="B10" s="81">
        <v>176</v>
      </c>
      <c r="C10" s="94" t="s">
        <v>333</v>
      </c>
      <c r="D10" s="82">
        <f t="shared" si="0"/>
        <v>4</v>
      </c>
      <c r="E10" s="82">
        <f t="shared" si="1"/>
        <v>1</v>
      </c>
      <c r="F10" s="89">
        <f t="shared" si="2"/>
        <v>0.8142292490118577</v>
      </c>
      <c r="G10" s="90">
        <v>6</v>
      </c>
      <c r="H10" s="90">
        <v>3</v>
      </c>
      <c r="I10" s="90">
        <v>8</v>
      </c>
      <c r="J10" s="90">
        <v>5</v>
      </c>
      <c r="K10" s="90"/>
      <c r="L10" s="77"/>
      <c r="M10" s="67"/>
      <c r="N10" s="67"/>
    </row>
    <row r="11" spans="1:14" ht="11.25">
      <c r="A11" s="28">
        <v>5</v>
      </c>
      <c r="B11" s="81">
        <v>106</v>
      </c>
      <c r="C11" s="94" t="s">
        <v>311</v>
      </c>
      <c r="D11" s="82">
        <f t="shared" si="0"/>
        <v>3</v>
      </c>
      <c r="E11" s="82">
        <f t="shared" si="1"/>
        <v>0</v>
      </c>
      <c r="F11" s="89">
        <f t="shared" si="2"/>
        <v>0.7963636363636364</v>
      </c>
      <c r="G11" s="90">
        <v>4</v>
      </c>
      <c r="H11" s="90">
        <v>12</v>
      </c>
      <c r="I11" s="90">
        <v>3</v>
      </c>
      <c r="J11" s="90"/>
      <c r="K11" s="90"/>
      <c r="L11" s="77"/>
      <c r="M11" s="67"/>
      <c r="N11" s="67"/>
    </row>
    <row r="12" spans="1:14" ht="11.25">
      <c r="A12" s="28">
        <v>6</v>
      </c>
      <c r="B12" s="81">
        <v>142</v>
      </c>
      <c r="C12" s="94" t="s">
        <v>214</v>
      </c>
      <c r="D12" s="82">
        <f t="shared" si="0"/>
        <v>4</v>
      </c>
      <c r="E12" s="82">
        <f t="shared" si="1"/>
        <v>1</v>
      </c>
      <c r="F12" s="89">
        <f t="shared" si="2"/>
        <v>0.7707509881422925</v>
      </c>
      <c r="G12" s="90">
        <v>7</v>
      </c>
      <c r="H12" s="90">
        <v>7</v>
      </c>
      <c r="I12" s="90">
        <v>12</v>
      </c>
      <c r="J12" s="90">
        <v>4</v>
      </c>
      <c r="K12" s="90"/>
      <c r="L12" s="77"/>
      <c r="M12" s="67"/>
      <c r="N12" s="67"/>
    </row>
    <row r="13" spans="1:14" ht="11.25">
      <c r="A13" s="28">
        <v>7</v>
      </c>
      <c r="B13" s="81">
        <v>70</v>
      </c>
      <c r="C13" s="94" t="s">
        <v>213</v>
      </c>
      <c r="D13" s="82">
        <f t="shared" si="0"/>
        <v>3</v>
      </c>
      <c r="E13" s="82">
        <f t="shared" si="1"/>
        <v>0</v>
      </c>
      <c r="F13" s="89">
        <f t="shared" si="2"/>
        <v>0.76</v>
      </c>
      <c r="G13" s="90">
        <v>8</v>
      </c>
      <c r="H13" s="90">
        <v>4</v>
      </c>
      <c r="I13" s="90">
        <v>10</v>
      </c>
      <c r="J13" s="90"/>
      <c r="K13" s="90"/>
      <c r="L13" s="77"/>
      <c r="M13" s="67"/>
      <c r="N13" s="67"/>
    </row>
    <row r="14" spans="1:14" ht="11.25">
      <c r="A14" s="28">
        <v>8</v>
      </c>
      <c r="B14" s="81">
        <v>183</v>
      </c>
      <c r="C14" s="94" t="s">
        <v>223</v>
      </c>
      <c r="D14" s="82">
        <f t="shared" si="0"/>
        <v>3</v>
      </c>
      <c r="E14" s="82">
        <f t="shared" si="1"/>
        <v>0</v>
      </c>
      <c r="F14" s="89">
        <f t="shared" si="2"/>
        <v>0.7386363636363636</v>
      </c>
      <c r="G14" s="90">
        <v>5</v>
      </c>
      <c r="H14" s="90"/>
      <c r="I14" s="90">
        <v>11</v>
      </c>
      <c r="J14" s="90">
        <v>7</v>
      </c>
      <c r="K14" s="90"/>
      <c r="L14" s="77"/>
      <c r="M14" s="67"/>
      <c r="N14" s="67"/>
    </row>
    <row r="15" spans="1:14" ht="11.25">
      <c r="A15" s="28">
        <v>9</v>
      </c>
      <c r="B15" s="81">
        <v>117</v>
      </c>
      <c r="C15" s="94" t="s">
        <v>209</v>
      </c>
      <c r="D15" s="82">
        <f t="shared" si="0"/>
        <v>4</v>
      </c>
      <c r="E15" s="82">
        <f t="shared" si="1"/>
        <v>1</v>
      </c>
      <c r="F15" s="89">
        <f t="shared" si="2"/>
        <v>0.7272727272727273</v>
      </c>
      <c r="G15" s="90">
        <v>12</v>
      </c>
      <c r="H15" s="90">
        <v>5</v>
      </c>
      <c r="I15" s="90">
        <v>16</v>
      </c>
      <c r="J15" s="90">
        <v>6</v>
      </c>
      <c r="K15" s="90"/>
      <c r="L15" s="77"/>
      <c r="M15" s="67"/>
      <c r="N15" s="67"/>
    </row>
    <row r="16" spans="1:14" ht="11.25">
      <c r="A16" s="28">
        <v>10</v>
      </c>
      <c r="B16" s="81">
        <v>197</v>
      </c>
      <c r="C16" s="94" t="s">
        <v>215</v>
      </c>
      <c r="D16" s="82">
        <f t="shared" si="0"/>
        <v>4</v>
      </c>
      <c r="E16" s="82">
        <f t="shared" si="1"/>
        <v>1</v>
      </c>
      <c r="F16" s="89">
        <f t="shared" si="2"/>
        <v>0.7172995780590717</v>
      </c>
      <c r="G16" s="90">
        <v>9</v>
      </c>
      <c r="H16" s="90">
        <v>8</v>
      </c>
      <c r="I16" s="90">
        <v>13</v>
      </c>
      <c r="J16" s="90"/>
      <c r="K16" s="90">
        <v>5</v>
      </c>
      <c r="L16" s="77"/>
      <c r="M16" s="151"/>
      <c r="N16" s="151"/>
    </row>
    <row r="17" spans="1:14" ht="11.25">
      <c r="A17" s="28">
        <v>11</v>
      </c>
      <c r="B17" s="81">
        <v>41</v>
      </c>
      <c r="C17" s="94" t="str">
        <f>VLOOKUP(B17,'2005Season'!$C$11:$D$35,2,FALSE)</f>
        <v>Tim Sawyer</v>
      </c>
      <c r="D17" s="82">
        <f t="shared" si="0"/>
        <v>3</v>
      </c>
      <c r="E17" s="82">
        <f t="shared" si="1"/>
        <v>0</v>
      </c>
      <c r="F17" s="89">
        <f t="shared" si="2"/>
        <v>0.6938775510204082</v>
      </c>
      <c r="G17" s="90"/>
      <c r="H17" s="90">
        <v>9</v>
      </c>
      <c r="I17" s="90">
        <v>14</v>
      </c>
      <c r="J17" s="90"/>
      <c r="K17" s="90">
        <v>4</v>
      </c>
      <c r="L17" s="77"/>
      <c r="M17" s="151"/>
      <c r="N17" s="151"/>
    </row>
    <row r="18" spans="1:14" ht="11.25">
      <c r="A18" s="28">
        <v>12</v>
      </c>
      <c r="B18" s="81">
        <v>38</v>
      </c>
      <c r="C18" s="94" t="str">
        <f>VLOOKUP(B18,'2005Season'!$C$11:$D$35,2,FALSE)</f>
        <v>Jean Pierre Jabart/Alain Concher</v>
      </c>
      <c r="D18" s="82">
        <f t="shared" si="0"/>
        <v>4</v>
      </c>
      <c r="E18" s="82">
        <f t="shared" si="1"/>
        <v>1</v>
      </c>
      <c r="F18" s="89">
        <f t="shared" si="2"/>
        <v>0.6681614349775785</v>
      </c>
      <c r="G18" s="90"/>
      <c r="H18" s="90">
        <v>11</v>
      </c>
      <c r="I18" s="90">
        <v>17</v>
      </c>
      <c r="J18" s="90">
        <v>8</v>
      </c>
      <c r="K18" s="90">
        <v>6</v>
      </c>
      <c r="L18" s="77"/>
      <c r="M18" s="151"/>
      <c r="N18" s="151"/>
    </row>
    <row r="19" spans="1:12" ht="11.25">
      <c r="A19" s="28">
        <v>13</v>
      </c>
      <c r="B19" s="83">
        <v>5</v>
      </c>
      <c r="C19" s="95" t="s">
        <v>212</v>
      </c>
      <c r="D19" s="84">
        <f t="shared" si="0"/>
        <v>3</v>
      </c>
      <c r="E19" s="84">
        <f t="shared" si="1"/>
        <v>0</v>
      </c>
      <c r="F19" s="96">
        <f t="shared" si="2"/>
        <v>0.6521739130434783</v>
      </c>
      <c r="G19" s="97">
        <v>13</v>
      </c>
      <c r="H19" s="97">
        <v>10</v>
      </c>
      <c r="I19" s="97"/>
      <c r="J19" s="97">
        <v>9</v>
      </c>
      <c r="K19" s="97"/>
      <c r="L19" s="77"/>
    </row>
    <row r="20" spans="2:12" ht="11.25">
      <c r="B20" s="81">
        <v>231</v>
      </c>
      <c r="C20" s="94" t="s">
        <v>224</v>
      </c>
      <c r="D20" s="82">
        <f t="shared" si="0"/>
        <v>2</v>
      </c>
      <c r="E20" s="82">
        <f t="shared" si="1"/>
        <v>0</v>
      </c>
      <c r="F20" s="89">
        <f t="shared" si="2"/>
        <v>0.9367088607594937</v>
      </c>
      <c r="G20" s="90"/>
      <c r="H20" s="90"/>
      <c r="I20" s="90">
        <v>1</v>
      </c>
      <c r="J20" s="90"/>
      <c r="K20" s="90">
        <v>3</v>
      </c>
      <c r="L20" s="77"/>
    </row>
    <row r="21" spans="2:12" ht="11.25">
      <c r="B21" s="81">
        <v>49</v>
      </c>
      <c r="C21" s="94" t="s">
        <v>332</v>
      </c>
      <c r="D21" s="82">
        <f t="shared" si="0"/>
        <v>2</v>
      </c>
      <c r="E21" s="82">
        <f t="shared" si="1"/>
        <v>0</v>
      </c>
      <c r="F21" s="89">
        <f t="shared" si="2"/>
        <v>0.8617021276595744</v>
      </c>
      <c r="G21" s="90">
        <v>1</v>
      </c>
      <c r="H21" s="90"/>
      <c r="I21" s="90">
        <v>9</v>
      </c>
      <c r="J21" s="90"/>
      <c r="K21" s="90"/>
      <c r="L21" s="77"/>
    </row>
    <row r="22" spans="2:12" ht="11.25">
      <c r="B22" s="81">
        <v>221</v>
      </c>
      <c r="C22" s="94" t="s">
        <v>211</v>
      </c>
      <c r="D22" s="82">
        <f t="shared" si="0"/>
        <v>2</v>
      </c>
      <c r="E22" s="82">
        <f t="shared" si="1"/>
        <v>0</v>
      </c>
      <c r="F22" s="89">
        <f t="shared" si="2"/>
        <v>0.75</v>
      </c>
      <c r="G22" s="90">
        <v>11</v>
      </c>
      <c r="H22" s="90"/>
      <c r="I22" s="90">
        <v>5</v>
      </c>
      <c r="J22" s="90"/>
      <c r="K22" s="90"/>
      <c r="L22" s="77"/>
    </row>
    <row r="23" spans="2:12" ht="11.25">
      <c r="B23" s="81">
        <v>26</v>
      </c>
      <c r="C23" s="94" t="s">
        <v>217</v>
      </c>
      <c r="D23" s="82">
        <f t="shared" si="0"/>
        <v>1</v>
      </c>
      <c r="E23" s="82">
        <f t="shared" si="1"/>
        <v>0</v>
      </c>
      <c r="F23" s="89">
        <f t="shared" si="2"/>
        <v>0.7755102040816326</v>
      </c>
      <c r="G23" s="90"/>
      <c r="H23" s="90"/>
      <c r="I23" s="90">
        <v>7</v>
      </c>
      <c r="J23" s="90"/>
      <c r="K23" s="90"/>
      <c r="L23" s="77"/>
    </row>
    <row r="24" spans="2:12" ht="11.25">
      <c r="B24" s="83">
        <v>16</v>
      </c>
      <c r="C24" s="95" t="s">
        <v>221</v>
      </c>
      <c r="D24" s="84">
        <f t="shared" si="0"/>
        <v>1</v>
      </c>
      <c r="E24" s="84">
        <f t="shared" si="1"/>
        <v>0</v>
      </c>
      <c r="F24" s="96">
        <f t="shared" si="2"/>
        <v>0.6020408163265306</v>
      </c>
      <c r="G24" s="97"/>
      <c r="H24" s="97"/>
      <c r="I24" s="97">
        <v>18</v>
      </c>
      <c r="J24" s="97"/>
      <c r="K24" s="97"/>
      <c r="L24" s="77"/>
    </row>
    <row r="25" spans="3:11" ht="11.25">
      <c r="C25" s="24"/>
      <c r="D25" s="67"/>
      <c r="E25" s="67"/>
      <c r="F25" s="69"/>
      <c r="G25" s="70"/>
      <c r="H25" s="70"/>
      <c r="I25" s="70"/>
      <c r="J25" s="70"/>
      <c r="K25" s="70"/>
    </row>
    <row r="26" ht="11.25">
      <c r="C26" s="28" t="s">
        <v>101</v>
      </c>
    </row>
    <row r="28" spans="2:3" ht="11.25">
      <c r="B28" s="25" t="s">
        <v>85</v>
      </c>
      <c r="C28" s="24" t="s">
        <v>90</v>
      </c>
    </row>
    <row r="29" spans="2:3" ht="11.25">
      <c r="B29" s="25" t="s">
        <v>86</v>
      </c>
      <c r="C29" s="24" t="s">
        <v>91</v>
      </c>
    </row>
    <row r="30" spans="2:3" ht="11.25">
      <c r="B30" s="25" t="s">
        <v>87</v>
      </c>
      <c r="C30" s="24" t="s">
        <v>92</v>
      </c>
    </row>
    <row r="31" spans="2:3" ht="11.25">
      <c r="B31" s="25" t="s">
        <v>88</v>
      </c>
      <c r="C31" s="24" t="s">
        <v>334</v>
      </c>
    </row>
    <row r="32" spans="2:3" ht="11.25">
      <c r="B32" s="25" t="s">
        <v>89</v>
      </c>
      <c r="C32" s="24" t="s">
        <v>93</v>
      </c>
    </row>
    <row r="34" ht="11.25">
      <c r="C34" s="28" t="s">
        <v>102</v>
      </c>
    </row>
    <row r="35" spans="3:8" ht="11.25">
      <c r="C35" s="28" t="s">
        <v>111</v>
      </c>
      <c r="H35" s="28" t="s">
        <v>7</v>
      </c>
    </row>
    <row r="36" ht="11.25">
      <c r="C36" s="28" t="s">
        <v>100</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5">
    <pageSetUpPr fitToPage="1"/>
  </sheetPr>
  <dimension ref="B2:N35"/>
  <sheetViews>
    <sheetView zoomScalePageLayoutView="0" workbookViewId="0" topLeftCell="A2">
      <selection activeCell="A2" sqref="A2"/>
    </sheetView>
  </sheetViews>
  <sheetFormatPr defaultColWidth="9.140625" defaultRowHeight="12.75"/>
  <cols>
    <col min="1" max="1" width="3.28125" style="3" customWidth="1"/>
    <col min="2" max="2" width="5.421875" style="3" customWidth="1"/>
    <col min="3" max="3" width="6.00390625" style="3" customWidth="1"/>
    <col min="4" max="4" width="24.8515625" style="3" bestFit="1" customWidth="1"/>
    <col min="5" max="5" width="12.57421875" style="3" customWidth="1"/>
    <col min="6" max="12" width="7.421875" style="11" customWidth="1"/>
    <col min="13" max="14" width="9.140625" style="221" customWidth="1"/>
    <col min="15" max="16384" width="9.140625" style="3" customWidth="1"/>
  </cols>
  <sheetData>
    <row r="2" spans="2:5" ht="18">
      <c r="B2" s="160" t="s">
        <v>417</v>
      </c>
      <c r="C2" s="160"/>
      <c r="E2" s="160"/>
    </row>
    <row r="3" spans="2:14" s="28" customFormat="1" ht="12.75">
      <c r="B3" s="193" t="s">
        <v>257</v>
      </c>
      <c r="F3" s="25"/>
      <c r="G3" s="25"/>
      <c r="H3" s="25"/>
      <c r="I3" s="25"/>
      <c r="J3" s="25"/>
      <c r="K3" s="25"/>
      <c r="L3" s="25"/>
      <c r="M3" s="151"/>
      <c r="N3" s="151"/>
    </row>
    <row r="4" spans="2:14" s="28" customFormat="1" ht="11.25">
      <c r="B4" s="28" t="s">
        <v>418</v>
      </c>
      <c r="F4" s="25"/>
      <c r="G4" s="25"/>
      <c r="H4" s="25"/>
      <c r="I4" s="25"/>
      <c r="J4" s="25"/>
      <c r="K4" s="25"/>
      <c r="L4" s="25"/>
      <c r="M4" s="151"/>
      <c r="N4" s="151"/>
    </row>
    <row r="5" spans="2:14" s="28" customFormat="1" ht="11.25">
      <c r="B5" s="28" t="s">
        <v>155</v>
      </c>
      <c r="F5" s="25"/>
      <c r="G5" s="25"/>
      <c r="H5" s="25"/>
      <c r="I5" s="25"/>
      <c r="J5" s="25"/>
      <c r="K5" s="25"/>
      <c r="L5" s="25"/>
      <c r="M5" s="151"/>
      <c r="N5" s="151"/>
    </row>
    <row r="6" spans="6:14" s="28" customFormat="1" ht="11.25">
      <c r="F6" s="25"/>
      <c r="G6" s="25"/>
      <c r="H6" s="25"/>
      <c r="I6" s="25"/>
      <c r="J6" s="25"/>
      <c r="K6" s="25"/>
      <c r="L6" s="25"/>
      <c r="M6" s="151"/>
      <c r="N6" s="151"/>
    </row>
    <row r="7" spans="2:14" s="28" customFormat="1" ht="11.25">
      <c r="B7" s="42"/>
      <c r="C7" s="42" t="s">
        <v>256</v>
      </c>
      <c r="D7" s="42" t="s">
        <v>358</v>
      </c>
      <c r="E7" s="42" t="s">
        <v>415</v>
      </c>
      <c r="F7" s="42" t="s">
        <v>359</v>
      </c>
      <c r="G7" s="42" t="s">
        <v>360</v>
      </c>
      <c r="H7" s="42" t="s">
        <v>376</v>
      </c>
      <c r="I7" s="42" t="s">
        <v>377</v>
      </c>
      <c r="J7" s="42" t="s">
        <v>419</v>
      </c>
      <c r="K7" s="42" t="s">
        <v>98</v>
      </c>
      <c r="L7" s="42" t="s">
        <v>239</v>
      </c>
      <c r="M7" s="151"/>
      <c r="N7" s="151"/>
    </row>
    <row r="8" spans="2:14" s="28" customFormat="1" ht="11.25">
      <c r="B8" s="41">
        <v>1</v>
      </c>
      <c r="C8" s="41">
        <v>220</v>
      </c>
      <c r="D8" s="40" t="s">
        <v>399</v>
      </c>
      <c r="E8" s="40" t="s">
        <v>400</v>
      </c>
      <c r="F8" s="41">
        <v>2</v>
      </c>
      <c r="G8" s="41">
        <v>1</v>
      </c>
      <c r="H8" s="41">
        <v>2</v>
      </c>
      <c r="I8" s="41">
        <v>1</v>
      </c>
      <c r="J8" s="41">
        <v>12</v>
      </c>
      <c r="K8" s="41">
        <f aca="true" t="shared" si="0" ref="K8:K28">SUM(F8:J8)</f>
        <v>18</v>
      </c>
      <c r="L8" s="41">
        <f aca="true" t="shared" si="1" ref="L8:L28">K8-MAX(F8:J8)</f>
        <v>6</v>
      </c>
      <c r="M8" s="222">
        <v>1</v>
      </c>
      <c r="N8" s="151"/>
    </row>
    <row r="9" spans="2:14" s="28" customFormat="1" ht="11.25">
      <c r="B9" s="41">
        <v>2</v>
      </c>
      <c r="C9" s="41">
        <v>239</v>
      </c>
      <c r="D9" s="40" t="s">
        <v>406</v>
      </c>
      <c r="E9" s="40" t="s">
        <v>400</v>
      </c>
      <c r="F9" s="41">
        <v>10</v>
      </c>
      <c r="G9" s="41">
        <v>4</v>
      </c>
      <c r="H9" s="41">
        <v>1</v>
      </c>
      <c r="I9" s="41">
        <v>2</v>
      </c>
      <c r="J9" s="41">
        <v>9</v>
      </c>
      <c r="K9" s="41">
        <f t="shared" si="0"/>
        <v>26</v>
      </c>
      <c r="L9" s="41">
        <f t="shared" si="1"/>
        <v>16</v>
      </c>
      <c r="M9" s="222">
        <v>2</v>
      </c>
      <c r="N9" s="151"/>
    </row>
    <row r="10" spans="2:14" s="28" customFormat="1" ht="11.25">
      <c r="B10" s="41">
        <v>3</v>
      </c>
      <c r="C10" s="41">
        <v>23</v>
      </c>
      <c r="D10" s="40" t="s">
        <v>451</v>
      </c>
      <c r="E10" s="40" t="s">
        <v>401</v>
      </c>
      <c r="F10" s="41">
        <v>7</v>
      </c>
      <c r="G10" s="41">
        <v>3</v>
      </c>
      <c r="H10" s="41">
        <v>11</v>
      </c>
      <c r="I10" s="41">
        <v>3</v>
      </c>
      <c r="J10" s="41">
        <v>3</v>
      </c>
      <c r="K10" s="41">
        <f t="shared" si="0"/>
        <v>27</v>
      </c>
      <c r="L10" s="41">
        <f t="shared" si="1"/>
        <v>16</v>
      </c>
      <c r="M10" s="222">
        <v>3</v>
      </c>
      <c r="N10" s="151"/>
    </row>
    <row r="11" spans="2:14" s="28" customFormat="1" ht="11.25">
      <c r="B11" s="41">
        <v>4</v>
      </c>
      <c r="C11" s="41">
        <v>160</v>
      </c>
      <c r="D11" s="40" t="s">
        <v>408</v>
      </c>
      <c r="E11" s="40" t="s">
        <v>409</v>
      </c>
      <c r="F11" s="41">
        <v>13</v>
      </c>
      <c r="G11" s="41">
        <v>2</v>
      </c>
      <c r="H11" s="41">
        <v>4</v>
      </c>
      <c r="I11" s="41">
        <v>7</v>
      </c>
      <c r="J11" s="41">
        <v>7</v>
      </c>
      <c r="K11" s="41">
        <f t="shared" si="0"/>
        <v>33</v>
      </c>
      <c r="L11" s="41">
        <f t="shared" si="1"/>
        <v>20</v>
      </c>
      <c r="M11" s="222">
        <v>4</v>
      </c>
      <c r="N11" s="151"/>
    </row>
    <row r="12" spans="2:14" s="28" customFormat="1" ht="11.25">
      <c r="B12" s="41">
        <v>5</v>
      </c>
      <c r="C12" s="41">
        <v>107</v>
      </c>
      <c r="D12" s="40" t="s">
        <v>453</v>
      </c>
      <c r="E12" s="40" t="s">
        <v>409</v>
      </c>
      <c r="F12" s="41">
        <v>6</v>
      </c>
      <c r="G12" s="41">
        <v>10</v>
      </c>
      <c r="H12" s="41">
        <v>9</v>
      </c>
      <c r="I12" s="41">
        <v>6</v>
      </c>
      <c r="J12" s="41">
        <v>5</v>
      </c>
      <c r="K12" s="41">
        <f t="shared" si="0"/>
        <v>36</v>
      </c>
      <c r="L12" s="41">
        <f t="shared" si="1"/>
        <v>26</v>
      </c>
      <c r="M12" s="222">
        <v>5</v>
      </c>
      <c r="N12" s="151"/>
    </row>
    <row r="13" spans="2:14" s="28" customFormat="1" ht="11.25">
      <c r="B13" s="41">
        <v>6</v>
      </c>
      <c r="C13" s="41">
        <v>245</v>
      </c>
      <c r="D13" s="40" t="s">
        <v>454</v>
      </c>
      <c r="E13" s="40" t="s">
        <v>398</v>
      </c>
      <c r="F13" s="41">
        <v>1</v>
      </c>
      <c r="G13" s="41">
        <v>6</v>
      </c>
      <c r="H13" s="41">
        <v>18</v>
      </c>
      <c r="I13" s="41">
        <v>20</v>
      </c>
      <c r="J13" s="41">
        <v>2</v>
      </c>
      <c r="K13" s="41">
        <f t="shared" si="0"/>
        <v>47</v>
      </c>
      <c r="L13" s="41">
        <f t="shared" si="1"/>
        <v>27</v>
      </c>
      <c r="M13" s="222">
        <v>6</v>
      </c>
      <c r="N13" s="151"/>
    </row>
    <row r="14" spans="2:14" s="28" customFormat="1" ht="11.25">
      <c r="B14" s="41">
        <v>7</v>
      </c>
      <c r="C14" s="41">
        <v>11</v>
      </c>
      <c r="D14" s="40" t="s">
        <v>404</v>
      </c>
      <c r="E14" s="40" t="s">
        <v>405</v>
      </c>
      <c r="F14" s="41">
        <v>9</v>
      </c>
      <c r="G14" s="41">
        <v>9</v>
      </c>
      <c r="H14" s="41">
        <v>3</v>
      </c>
      <c r="I14" s="41">
        <v>8</v>
      </c>
      <c r="J14" s="41">
        <v>14</v>
      </c>
      <c r="K14" s="41">
        <f t="shared" si="0"/>
        <v>43</v>
      </c>
      <c r="L14" s="41">
        <f t="shared" si="1"/>
        <v>29</v>
      </c>
      <c r="M14" s="222">
        <v>7</v>
      </c>
      <c r="N14" s="151"/>
    </row>
    <row r="15" spans="2:14" s="28" customFormat="1" ht="11.25">
      <c r="B15" s="41">
        <v>8</v>
      </c>
      <c r="C15" s="41">
        <v>106</v>
      </c>
      <c r="D15" s="40" t="s">
        <v>455</v>
      </c>
      <c r="E15" s="40" t="s">
        <v>401</v>
      </c>
      <c r="F15" s="41">
        <v>4</v>
      </c>
      <c r="G15" s="41">
        <v>12</v>
      </c>
      <c r="H15" s="41">
        <v>14</v>
      </c>
      <c r="I15" s="41">
        <v>19</v>
      </c>
      <c r="J15" s="41">
        <v>1</v>
      </c>
      <c r="K15" s="41">
        <f t="shared" si="0"/>
        <v>50</v>
      </c>
      <c r="L15" s="41">
        <f t="shared" si="1"/>
        <v>31</v>
      </c>
      <c r="M15" s="222">
        <v>8</v>
      </c>
      <c r="N15" s="151"/>
    </row>
    <row r="16" spans="2:14" s="28" customFormat="1" ht="11.25">
      <c r="B16" s="41">
        <v>9</v>
      </c>
      <c r="C16" s="41">
        <v>231</v>
      </c>
      <c r="D16" s="40" t="s">
        <v>456</v>
      </c>
      <c r="E16" s="40" t="s">
        <v>401</v>
      </c>
      <c r="F16" s="41">
        <v>11</v>
      </c>
      <c r="G16" s="41">
        <v>8</v>
      </c>
      <c r="H16" s="41">
        <v>8</v>
      </c>
      <c r="I16" s="41">
        <v>4</v>
      </c>
      <c r="J16" s="41">
        <v>13</v>
      </c>
      <c r="K16" s="41">
        <f t="shared" si="0"/>
        <v>44</v>
      </c>
      <c r="L16" s="41">
        <f t="shared" si="1"/>
        <v>31</v>
      </c>
      <c r="M16" s="222">
        <v>9</v>
      </c>
      <c r="N16" s="151"/>
    </row>
    <row r="17" spans="2:14" s="28" customFormat="1" ht="11.25">
      <c r="B17" s="41">
        <v>10</v>
      </c>
      <c r="C17" s="41">
        <v>232</v>
      </c>
      <c r="D17" s="40" t="s">
        <v>402</v>
      </c>
      <c r="E17" s="40" t="s">
        <v>403</v>
      </c>
      <c r="F17" s="41">
        <v>5</v>
      </c>
      <c r="G17" s="41">
        <v>17</v>
      </c>
      <c r="H17" s="41">
        <v>7</v>
      </c>
      <c r="I17" s="41">
        <v>11</v>
      </c>
      <c r="J17" s="41">
        <v>8</v>
      </c>
      <c r="K17" s="41">
        <f t="shared" si="0"/>
        <v>48</v>
      </c>
      <c r="L17" s="41">
        <f t="shared" si="1"/>
        <v>31</v>
      </c>
      <c r="M17" s="222">
        <v>10</v>
      </c>
      <c r="N17" s="151"/>
    </row>
    <row r="18" spans="2:14" s="28" customFormat="1" ht="11.25">
      <c r="B18" s="41">
        <v>11</v>
      </c>
      <c r="C18" s="41">
        <v>182</v>
      </c>
      <c r="D18" s="40" t="s">
        <v>316</v>
      </c>
      <c r="E18" s="40" t="s">
        <v>401</v>
      </c>
      <c r="F18" s="41">
        <v>3</v>
      </c>
      <c r="G18" s="41">
        <v>11</v>
      </c>
      <c r="H18" s="41">
        <v>16</v>
      </c>
      <c r="I18" s="41">
        <v>10</v>
      </c>
      <c r="J18" s="41">
        <v>11</v>
      </c>
      <c r="K18" s="41">
        <f t="shared" si="0"/>
        <v>51</v>
      </c>
      <c r="L18" s="41">
        <f t="shared" si="1"/>
        <v>35</v>
      </c>
      <c r="M18" s="222">
        <v>11</v>
      </c>
      <c r="N18" s="151"/>
    </row>
    <row r="19" spans="2:14" s="28" customFormat="1" ht="11.25">
      <c r="B19" s="41">
        <v>12</v>
      </c>
      <c r="C19" s="41">
        <v>77</v>
      </c>
      <c r="D19" s="40" t="s">
        <v>413</v>
      </c>
      <c r="E19" s="40"/>
      <c r="F19" s="41">
        <v>20</v>
      </c>
      <c r="G19" s="41">
        <v>5</v>
      </c>
      <c r="H19" s="41">
        <v>15</v>
      </c>
      <c r="I19" s="41">
        <v>5</v>
      </c>
      <c r="J19" s="41">
        <v>10</v>
      </c>
      <c r="K19" s="41">
        <f t="shared" si="0"/>
        <v>55</v>
      </c>
      <c r="L19" s="41">
        <f t="shared" si="1"/>
        <v>35</v>
      </c>
      <c r="M19" s="222">
        <v>12</v>
      </c>
      <c r="N19" s="151"/>
    </row>
    <row r="20" spans="2:14" s="28" customFormat="1" ht="11.25">
      <c r="B20" s="41">
        <v>13</v>
      </c>
      <c r="C20" s="41">
        <v>25</v>
      </c>
      <c r="D20" s="40" t="s">
        <v>407</v>
      </c>
      <c r="E20" s="40" t="s">
        <v>401</v>
      </c>
      <c r="F20" s="41">
        <v>12</v>
      </c>
      <c r="G20" s="41">
        <v>13</v>
      </c>
      <c r="H20" s="41">
        <v>13</v>
      </c>
      <c r="I20" s="41">
        <v>17</v>
      </c>
      <c r="J20" s="41">
        <v>4</v>
      </c>
      <c r="K20" s="41">
        <f t="shared" si="0"/>
        <v>59</v>
      </c>
      <c r="L20" s="41">
        <f t="shared" si="1"/>
        <v>42</v>
      </c>
      <c r="M20" s="222">
        <v>13</v>
      </c>
      <c r="N20" s="151"/>
    </row>
    <row r="21" spans="2:14" s="28" customFormat="1" ht="11.25">
      <c r="B21" s="41">
        <v>14</v>
      </c>
      <c r="C21" s="41">
        <v>143</v>
      </c>
      <c r="D21" s="40" t="s">
        <v>457</v>
      </c>
      <c r="E21" s="40" t="s">
        <v>409</v>
      </c>
      <c r="F21" s="41">
        <v>21</v>
      </c>
      <c r="G21" s="41">
        <v>15</v>
      </c>
      <c r="H21" s="41">
        <v>12</v>
      </c>
      <c r="I21" s="41">
        <v>13</v>
      </c>
      <c r="J21" s="41">
        <v>6</v>
      </c>
      <c r="K21" s="41">
        <f t="shared" si="0"/>
        <v>67</v>
      </c>
      <c r="L21" s="41">
        <f t="shared" si="1"/>
        <v>46</v>
      </c>
      <c r="M21" s="222">
        <v>14</v>
      </c>
      <c r="N21" s="151"/>
    </row>
    <row r="22" spans="2:14" s="28" customFormat="1" ht="11.25">
      <c r="B22" s="41">
        <v>15</v>
      </c>
      <c r="C22" s="41">
        <v>150</v>
      </c>
      <c r="D22" s="40" t="s">
        <v>411</v>
      </c>
      <c r="E22" s="40" t="s">
        <v>412</v>
      </c>
      <c r="F22" s="41">
        <v>19</v>
      </c>
      <c r="G22" s="41">
        <v>14</v>
      </c>
      <c r="H22" s="41">
        <v>6</v>
      </c>
      <c r="I22" s="41">
        <v>12</v>
      </c>
      <c r="J22" s="41">
        <v>20</v>
      </c>
      <c r="K22" s="41">
        <f t="shared" si="0"/>
        <v>71</v>
      </c>
      <c r="L22" s="41">
        <f t="shared" si="1"/>
        <v>51</v>
      </c>
      <c r="M22" s="222">
        <v>15</v>
      </c>
      <c r="N22" s="151"/>
    </row>
    <row r="23" spans="2:14" s="28" customFormat="1" ht="11.25">
      <c r="B23" s="41">
        <v>16</v>
      </c>
      <c r="C23" s="41">
        <v>221</v>
      </c>
      <c r="D23" s="40" t="s">
        <v>340</v>
      </c>
      <c r="E23" s="40" t="s">
        <v>401</v>
      </c>
      <c r="F23" s="41">
        <v>8</v>
      </c>
      <c r="G23" s="41">
        <v>19</v>
      </c>
      <c r="H23" s="41">
        <v>10</v>
      </c>
      <c r="I23" s="41">
        <v>15</v>
      </c>
      <c r="J23" s="41">
        <v>21</v>
      </c>
      <c r="K23" s="41">
        <f t="shared" si="0"/>
        <v>73</v>
      </c>
      <c r="L23" s="41">
        <f t="shared" si="1"/>
        <v>52</v>
      </c>
      <c r="M23" s="222">
        <v>16</v>
      </c>
      <c r="N23" s="151"/>
    </row>
    <row r="24" spans="2:14" s="28" customFormat="1" ht="11.25">
      <c r="B24" s="41">
        <v>17</v>
      </c>
      <c r="C24" s="41">
        <v>238</v>
      </c>
      <c r="D24" s="40" t="s">
        <v>414</v>
      </c>
      <c r="E24" s="40" t="s">
        <v>400</v>
      </c>
      <c r="F24" s="41">
        <v>23</v>
      </c>
      <c r="G24" s="41">
        <v>18</v>
      </c>
      <c r="H24" s="41">
        <v>5</v>
      </c>
      <c r="I24" s="41">
        <v>9</v>
      </c>
      <c r="J24" s="41">
        <v>22</v>
      </c>
      <c r="K24" s="41">
        <f t="shared" si="0"/>
        <v>77</v>
      </c>
      <c r="L24" s="41">
        <f t="shared" si="1"/>
        <v>54</v>
      </c>
      <c r="M24" s="222">
        <v>17</v>
      </c>
      <c r="N24" s="151"/>
    </row>
    <row r="25" spans="2:14" s="28" customFormat="1" ht="11.25">
      <c r="B25" s="41">
        <v>18</v>
      </c>
      <c r="C25" s="41">
        <v>183</v>
      </c>
      <c r="D25" s="40" t="s">
        <v>458</v>
      </c>
      <c r="E25" s="40" t="s">
        <v>401</v>
      </c>
      <c r="F25" s="41">
        <v>17</v>
      </c>
      <c r="G25" s="41">
        <v>7</v>
      </c>
      <c r="H25" s="41">
        <v>17</v>
      </c>
      <c r="I25" s="41">
        <v>14</v>
      </c>
      <c r="J25" s="41">
        <v>23</v>
      </c>
      <c r="K25" s="41">
        <f t="shared" si="0"/>
        <v>78</v>
      </c>
      <c r="L25" s="41">
        <f t="shared" si="1"/>
        <v>55</v>
      </c>
      <c r="M25" s="222">
        <v>18</v>
      </c>
      <c r="N25" s="151"/>
    </row>
    <row r="26" spans="2:14" s="28" customFormat="1" ht="11.25">
      <c r="B26" s="41">
        <v>19</v>
      </c>
      <c r="C26" s="41">
        <v>117</v>
      </c>
      <c r="D26" s="40" t="s">
        <v>459</v>
      </c>
      <c r="E26" s="40" t="s">
        <v>401</v>
      </c>
      <c r="F26" s="41">
        <v>14</v>
      </c>
      <c r="G26" s="41">
        <v>20</v>
      </c>
      <c r="H26" s="41">
        <v>20</v>
      </c>
      <c r="I26" s="41">
        <v>16</v>
      </c>
      <c r="J26" s="41">
        <v>16</v>
      </c>
      <c r="K26" s="41">
        <f t="shared" si="0"/>
        <v>86</v>
      </c>
      <c r="L26" s="41">
        <f t="shared" si="1"/>
        <v>66</v>
      </c>
      <c r="M26" s="222">
        <v>19</v>
      </c>
      <c r="N26" s="151"/>
    </row>
    <row r="27" spans="2:14" s="28" customFormat="1" ht="11.25">
      <c r="B27" s="41">
        <v>20</v>
      </c>
      <c r="C27" s="41">
        <v>142</v>
      </c>
      <c r="D27" s="40" t="s">
        <v>313</v>
      </c>
      <c r="E27" s="40" t="s">
        <v>401</v>
      </c>
      <c r="F27" s="41">
        <v>18</v>
      </c>
      <c r="G27" s="41">
        <v>16</v>
      </c>
      <c r="H27" s="41">
        <v>19</v>
      </c>
      <c r="I27" s="41">
        <v>18</v>
      </c>
      <c r="J27" s="41">
        <v>18</v>
      </c>
      <c r="K27" s="41">
        <f t="shared" si="0"/>
        <v>89</v>
      </c>
      <c r="L27" s="41">
        <f t="shared" si="1"/>
        <v>70</v>
      </c>
      <c r="M27" s="222">
        <v>20</v>
      </c>
      <c r="N27" s="151"/>
    </row>
    <row r="28" spans="2:14" s="28" customFormat="1" ht="11.25">
      <c r="B28" s="41">
        <v>21</v>
      </c>
      <c r="C28" s="41">
        <v>170</v>
      </c>
      <c r="D28" s="40" t="s">
        <v>452</v>
      </c>
      <c r="E28" s="40" t="s">
        <v>410</v>
      </c>
      <c r="F28" s="41">
        <v>16</v>
      </c>
      <c r="G28" s="41">
        <v>21</v>
      </c>
      <c r="H28" s="41">
        <v>21</v>
      </c>
      <c r="I28" s="41">
        <v>21</v>
      </c>
      <c r="J28" s="41">
        <v>15</v>
      </c>
      <c r="K28" s="41">
        <f t="shared" si="0"/>
        <v>94</v>
      </c>
      <c r="L28" s="41">
        <f t="shared" si="1"/>
        <v>73</v>
      </c>
      <c r="M28" s="222">
        <v>21</v>
      </c>
      <c r="N28" s="151"/>
    </row>
    <row r="29" spans="2:14" s="28" customFormat="1" ht="11.25">
      <c r="B29" s="41">
        <v>22</v>
      </c>
      <c r="C29" s="41">
        <v>26</v>
      </c>
      <c r="D29" s="40" t="s">
        <v>342</v>
      </c>
      <c r="E29" s="40" t="s">
        <v>401</v>
      </c>
      <c r="F29" s="41">
        <v>15</v>
      </c>
      <c r="G29" s="41">
        <v>23</v>
      </c>
      <c r="H29" s="41" t="s">
        <v>94</v>
      </c>
      <c r="I29" s="41">
        <v>23</v>
      </c>
      <c r="J29" s="41">
        <v>17</v>
      </c>
      <c r="K29" s="41">
        <f>SUM(F29:J29)+25</f>
        <v>103</v>
      </c>
      <c r="L29" s="41">
        <f>K29-25</f>
        <v>78</v>
      </c>
      <c r="M29" s="222">
        <v>22</v>
      </c>
      <c r="N29" s="151"/>
    </row>
    <row r="30" spans="2:14" s="28" customFormat="1" ht="11.25">
      <c r="B30" s="41">
        <v>23</v>
      </c>
      <c r="C30" s="41">
        <v>70</v>
      </c>
      <c r="D30" s="40" t="s">
        <v>314</v>
      </c>
      <c r="E30" s="40" t="s">
        <v>401</v>
      </c>
      <c r="F30" s="41">
        <v>22</v>
      </c>
      <c r="G30" s="41">
        <v>22</v>
      </c>
      <c r="H30" s="41">
        <v>22</v>
      </c>
      <c r="I30" s="41">
        <v>22</v>
      </c>
      <c r="J30" s="41">
        <v>19</v>
      </c>
      <c r="K30" s="41">
        <f>SUM(F30:J30)</f>
        <v>107</v>
      </c>
      <c r="L30" s="41">
        <f>K30-MAX(F30:J30)</f>
        <v>85</v>
      </c>
      <c r="M30" s="222">
        <v>23</v>
      </c>
      <c r="N30" s="151"/>
    </row>
    <row r="31" spans="2:14" s="28" customFormat="1" ht="11.25">
      <c r="B31" s="51">
        <v>24</v>
      </c>
      <c r="C31" s="51">
        <v>5</v>
      </c>
      <c r="D31" s="61" t="s">
        <v>318</v>
      </c>
      <c r="E31" s="61" t="s">
        <v>401</v>
      </c>
      <c r="F31" s="51" t="s">
        <v>166</v>
      </c>
      <c r="G31" s="51" t="s">
        <v>166</v>
      </c>
      <c r="H31" s="51" t="s">
        <v>166</v>
      </c>
      <c r="I31" s="51" t="s">
        <v>166</v>
      </c>
      <c r="J31" s="51" t="s">
        <v>166</v>
      </c>
      <c r="K31" s="51">
        <f>25*5</f>
        <v>125</v>
      </c>
      <c r="L31" s="51">
        <f>K31-25</f>
        <v>100</v>
      </c>
      <c r="M31" s="222">
        <v>24</v>
      </c>
      <c r="N31" s="151"/>
    </row>
    <row r="32" spans="2:14" s="28" customFormat="1" ht="11.25">
      <c r="B32" s="67"/>
      <c r="D32" s="151"/>
      <c r="E32" s="151"/>
      <c r="F32" s="67"/>
      <c r="G32" s="67"/>
      <c r="H32" s="67"/>
      <c r="I32" s="67"/>
      <c r="J32" s="67"/>
      <c r="K32" s="67"/>
      <c r="L32" s="67"/>
      <c r="M32" s="151"/>
      <c r="N32" s="151"/>
    </row>
    <row r="33" spans="2:14" s="28" customFormat="1" ht="11.25">
      <c r="B33" s="28" t="s">
        <v>395</v>
      </c>
      <c r="F33" s="25"/>
      <c r="G33" s="25"/>
      <c r="H33" s="25"/>
      <c r="I33" s="25"/>
      <c r="J33" s="25"/>
      <c r="K33" s="25"/>
      <c r="L33" s="25"/>
      <c r="M33" s="151"/>
      <c r="N33" s="151"/>
    </row>
    <row r="35" ht="12.75">
      <c r="B35" s="76" t="s">
        <v>416</v>
      </c>
    </row>
  </sheetData>
  <sheetProtection/>
  <hyperlinks>
    <hyperlink ref="B35" r:id="rId1" display="http://www.larchmontyc.org/Race_Committee/2005_SHNAT_RST.pdf"/>
  </hyperlinks>
  <printOptions/>
  <pageMargins left="0.75" right="0.75" top="1" bottom="1" header="0.5" footer="0.5"/>
  <pageSetup fitToHeight="1" fitToWidth="1" horizontalDpi="600" verticalDpi="600" orientation="landscape" scale="90" r:id="rId2"/>
</worksheet>
</file>

<file path=xl/worksheets/sheet7.xml><?xml version="1.0" encoding="utf-8"?>
<worksheet xmlns="http://schemas.openxmlformats.org/spreadsheetml/2006/main" xmlns:r="http://schemas.openxmlformats.org/officeDocument/2006/relationships">
  <sheetPr codeName="Sheet6"/>
  <dimension ref="B2:I19"/>
  <sheetViews>
    <sheetView zoomScalePageLayoutView="0" workbookViewId="0" topLeftCell="A1">
      <selection activeCell="A2" sqref="A1:IV16384"/>
    </sheetView>
  </sheetViews>
  <sheetFormatPr defaultColWidth="9.140625" defaultRowHeight="12.75"/>
  <cols>
    <col min="1" max="1" width="9.140625" style="3" customWidth="1"/>
    <col min="2" max="3" width="9.140625" style="11" customWidth="1"/>
    <col min="4" max="4" width="19.28125" style="3" bestFit="1" customWidth="1"/>
    <col min="5" max="9" width="8.140625" style="11" customWidth="1"/>
    <col min="10" max="16384" width="9.140625" style="3" customWidth="1"/>
  </cols>
  <sheetData>
    <row r="2" spans="2:3" ht="15.75">
      <c r="B2" s="22" t="s">
        <v>307</v>
      </c>
      <c r="C2" s="22"/>
    </row>
    <row r="3" spans="2:3" ht="12.75">
      <c r="B3" s="23"/>
      <c r="C3" s="23"/>
    </row>
    <row r="4" spans="2:3" ht="12.75" customHeight="1">
      <c r="B4" s="23" t="s">
        <v>110</v>
      </c>
      <c r="C4" s="23"/>
    </row>
    <row r="5" ht="12.75" customHeight="1"/>
    <row r="6" spans="2:9" ht="12.75">
      <c r="B6" s="42"/>
      <c r="C6" s="42" t="s">
        <v>256</v>
      </c>
      <c r="D6" s="39" t="s">
        <v>158</v>
      </c>
      <c r="E6" s="42" t="s">
        <v>95</v>
      </c>
      <c r="F6" s="42" t="s">
        <v>96</v>
      </c>
      <c r="G6" s="42" t="s">
        <v>97</v>
      </c>
      <c r="H6" s="42" t="s">
        <v>106</v>
      </c>
      <c r="I6" s="42" t="s">
        <v>98</v>
      </c>
    </row>
    <row r="7" spans="2:9" ht="12.75">
      <c r="B7" s="57">
        <v>1</v>
      </c>
      <c r="C7" s="57">
        <v>49</v>
      </c>
      <c r="D7" s="38" t="s">
        <v>308</v>
      </c>
      <c r="E7" s="59">
        <v>2</v>
      </c>
      <c r="F7" s="41">
        <v>1</v>
      </c>
      <c r="G7" s="41">
        <v>4</v>
      </c>
      <c r="H7" s="41">
        <v>1</v>
      </c>
      <c r="I7" s="41">
        <v>8</v>
      </c>
    </row>
    <row r="8" spans="2:9" ht="12.75">
      <c r="B8" s="57">
        <v>2</v>
      </c>
      <c r="C8" s="57">
        <v>23</v>
      </c>
      <c r="D8" s="40" t="s">
        <v>309</v>
      </c>
      <c r="E8" s="59">
        <v>4</v>
      </c>
      <c r="F8" s="41">
        <v>3</v>
      </c>
      <c r="G8" s="41">
        <v>3</v>
      </c>
      <c r="H8" s="41">
        <v>2</v>
      </c>
      <c r="I8" s="41">
        <v>12</v>
      </c>
    </row>
    <row r="9" spans="2:9" ht="12.75">
      <c r="B9" s="57">
        <v>3</v>
      </c>
      <c r="C9" s="57">
        <v>25</v>
      </c>
      <c r="D9" s="40" t="s">
        <v>310</v>
      </c>
      <c r="E9" s="59">
        <v>1</v>
      </c>
      <c r="F9" s="41">
        <v>2</v>
      </c>
      <c r="G9" s="41">
        <v>7</v>
      </c>
      <c r="H9" s="41">
        <v>4</v>
      </c>
      <c r="I9" s="41">
        <v>14</v>
      </c>
    </row>
    <row r="10" spans="2:9" ht="12.75">
      <c r="B10" s="57">
        <v>4</v>
      </c>
      <c r="C10" s="57">
        <v>106</v>
      </c>
      <c r="D10" s="40" t="s">
        <v>311</v>
      </c>
      <c r="E10" s="59">
        <v>3</v>
      </c>
      <c r="F10" s="41">
        <v>6</v>
      </c>
      <c r="G10" s="41">
        <v>6</v>
      </c>
      <c r="H10" s="41">
        <v>3</v>
      </c>
      <c r="I10" s="41">
        <v>18</v>
      </c>
    </row>
    <row r="11" spans="2:9" ht="12.75">
      <c r="B11" s="57">
        <v>5</v>
      </c>
      <c r="C11" s="57">
        <v>183</v>
      </c>
      <c r="D11" s="40" t="s">
        <v>312</v>
      </c>
      <c r="E11" s="59">
        <v>8</v>
      </c>
      <c r="F11" s="41">
        <v>9</v>
      </c>
      <c r="G11" s="41">
        <v>1</v>
      </c>
      <c r="H11" s="41">
        <v>5</v>
      </c>
      <c r="I11" s="41">
        <v>23</v>
      </c>
    </row>
    <row r="12" spans="2:9" ht="12.75">
      <c r="B12" s="57">
        <v>6</v>
      </c>
      <c r="C12" s="57">
        <v>176</v>
      </c>
      <c r="D12" s="40" t="s">
        <v>281</v>
      </c>
      <c r="E12" s="59">
        <v>6</v>
      </c>
      <c r="F12" s="41">
        <v>10</v>
      </c>
      <c r="G12" s="41">
        <v>2</v>
      </c>
      <c r="H12" s="41">
        <v>7</v>
      </c>
      <c r="I12" s="41">
        <v>25</v>
      </c>
    </row>
    <row r="13" spans="2:9" ht="12.75">
      <c r="B13" s="57">
        <v>7</v>
      </c>
      <c r="C13" s="57">
        <v>142</v>
      </c>
      <c r="D13" s="40" t="s">
        <v>313</v>
      </c>
      <c r="E13" s="59">
        <v>7</v>
      </c>
      <c r="F13" s="41">
        <v>7</v>
      </c>
      <c r="G13" s="41">
        <v>10</v>
      </c>
      <c r="H13" s="41">
        <v>8</v>
      </c>
      <c r="I13" s="41">
        <v>32</v>
      </c>
    </row>
    <row r="14" spans="2:9" ht="12.75">
      <c r="B14" s="57">
        <v>8</v>
      </c>
      <c r="C14" s="57">
        <v>70</v>
      </c>
      <c r="D14" s="40" t="s">
        <v>314</v>
      </c>
      <c r="E14" s="59">
        <v>11</v>
      </c>
      <c r="F14" s="41">
        <v>4</v>
      </c>
      <c r="G14" s="41">
        <v>8</v>
      </c>
      <c r="H14" s="41">
        <v>10</v>
      </c>
      <c r="I14" s="41">
        <v>33</v>
      </c>
    </row>
    <row r="15" spans="2:9" ht="12.75">
      <c r="B15" s="57">
        <v>9</v>
      </c>
      <c r="C15" s="57">
        <v>197</v>
      </c>
      <c r="D15" s="40" t="s">
        <v>315</v>
      </c>
      <c r="E15" s="59">
        <v>9</v>
      </c>
      <c r="F15" s="41">
        <v>8</v>
      </c>
      <c r="G15" s="41">
        <v>9</v>
      </c>
      <c r="H15" s="41">
        <v>11</v>
      </c>
      <c r="I15" s="41">
        <v>37</v>
      </c>
    </row>
    <row r="16" spans="2:9" ht="12.75">
      <c r="B16" s="57">
        <v>10</v>
      </c>
      <c r="C16" s="57">
        <v>182</v>
      </c>
      <c r="D16" s="40" t="s">
        <v>316</v>
      </c>
      <c r="E16" s="59">
        <v>5</v>
      </c>
      <c r="F16" s="41">
        <v>5</v>
      </c>
      <c r="G16" s="41">
        <v>14</v>
      </c>
      <c r="H16" s="41">
        <v>14</v>
      </c>
      <c r="I16" s="41">
        <v>38</v>
      </c>
    </row>
    <row r="17" spans="2:9" ht="12.75">
      <c r="B17" s="57">
        <v>11</v>
      </c>
      <c r="C17" s="57">
        <v>221</v>
      </c>
      <c r="D17" s="40" t="s">
        <v>172</v>
      </c>
      <c r="E17" s="59">
        <v>14</v>
      </c>
      <c r="F17" s="41">
        <v>14</v>
      </c>
      <c r="G17" s="41">
        <v>5</v>
      </c>
      <c r="H17" s="41">
        <v>6</v>
      </c>
      <c r="I17" s="41">
        <v>39</v>
      </c>
    </row>
    <row r="18" spans="2:9" ht="12.75">
      <c r="B18" s="57">
        <v>12</v>
      </c>
      <c r="C18" s="57">
        <v>117</v>
      </c>
      <c r="D18" s="40" t="s">
        <v>317</v>
      </c>
      <c r="E18" s="59">
        <v>12</v>
      </c>
      <c r="F18" s="41">
        <v>12</v>
      </c>
      <c r="G18" s="41">
        <v>11</v>
      </c>
      <c r="H18" s="41">
        <v>9</v>
      </c>
      <c r="I18" s="41">
        <v>44</v>
      </c>
    </row>
    <row r="19" spans="2:9" ht="12.75">
      <c r="B19" s="58">
        <v>13</v>
      </c>
      <c r="C19" s="58">
        <v>5</v>
      </c>
      <c r="D19" s="61" t="s">
        <v>318</v>
      </c>
      <c r="E19" s="60">
        <v>10</v>
      </c>
      <c r="F19" s="51">
        <v>11</v>
      </c>
      <c r="G19" s="51">
        <v>14</v>
      </c>
      <c r="H19" s="51">
        <v>14</v>
      </c>
      <c r="I19" s="51">
        <v>49</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1:O27"/>
  <sheetViews>
    <sheetView zoomScalePageLayoutView="0" workbookViewId="0" topLeftCell="A1">
      <selection activeCell="A1" sqref="A1"/>
    </sheetView>
  </sheetViews>
  <sheetFormatPr defaultColWidth="12.57421875" defaultRowHeight="15" customHeight="1"/>
  <cols>
    <col min="1" max="1" width="7.421875" style="77" customWidth="1"/>
    <col min="2" max="2" width="6.7109375" style="129" customWidth="1"/>
    <col min="3" max="3" width="7.28125" style="78" bestFit="1" customWidth="1"/>
    <col min="4" max="4" width="28.57421875" style="79" bestFit="1" customWidth="1"/>
    <col min="5" max="5" width="12.00390625" style="79" bestFit="1" customWidth="1"/>
    <col min="6" max="11" width="6.8515625" style="78" bestFit="1" customWidth="1"/>
    <col min="12" max="12" width="5.00390625" style="78" bestFit="1" customWidth="1"/>
    <col min="13" max="13" width="4.00390625" style="78" bestFit="1" customWidth="1"/>
    <col min="14" max="16384" width="12.57421875" style="79" customWidth="1"/>
  </cols>
  <sheetData>
    <row r="1" ht="15" customHeight="1">
      <c r="B1" s="22" t="s">
        <v>154</v>
      </c>
    </row>
    <row r="2" ht="15" customHeight="1">
      <c r="B2" s="71" t="s">
        <v>257</v>
      </c>
    </row>
    <row r="3" ht="15" customHeight="1">
      <c r="B3" s="80" t="s">
        <v>328</v>
      </c>
    </row>
    <row r="4" ht="17.25" customHeight="1">
      <c r="B4" s="78"/>
    </row>
    <row r="5" spans="2:13" ht="15" customHeight="1">
      <c r="B5" s="85" t="s">
        <v>156</v>
      </c>
      <c r="C5" s="130" t="s">
        <v>157</v>
      </c>
      <c r="D5" s="130" t="s">
        <v>158</v>
      </c>
      <c r="E5" s="130" t="s">
        <v>159</v>
      </c>
      <c r="F5" s="130" t="s">
        <v>95</v>
      </c>
      <c r="G5" s="130" t="s">
        <v>96</v>
      </c>
      <c r="H5" s="130" t="s">
        <v>97</v>
      </c>
      <c r="I5" s="130" t="s">
        <v>106</v>
      </c>
      <c r="J5" s="130" t="s">
        <v>160</v>
      </c>
      <c r="K5" s="130" t="s">
        <v>196</v>
      </c>
      <c r="L5" s="131" t="s">
        <v>98</v>
      </c>
      <c r="M5" s="130" t="s">
        <v>239</v>
      </c>
    </row>
    <row r="6" spans="2:13" ht="15" customHeight="1">
      <c r="B6" s="92">
        <v>1</v>
      </c>
      <c r="C6" s="92">
        <v>57</v>
      </c>
      <c r="D6" s="132" t="s">
        <v>325</v>
      </c>
      <c r="E6" s="82" t="s">
        <v>329</v>
      </c>
      <c r="F6" s="90">
        <v>1</v>
      </c>
      <c r="G6" s="90">
        <v>5</v>
      </c>
      <c r="H6" s="90">
        <v>1</v>
      </c>
      <c r="I6" s="90">
        <v>2</v>
      </c>
      <c r="J6" s="90">
        <v>1</v>
      </c>
      <c r="K6" s="90">
        <v>4</v>
      </c>
      <c r="L6" s="133">
        <v>14</v>
      </c>
      <c r="M6" s="134">
        <v>9</v>
      </c>
    </row>
    <row r="7" spans="2:13" ht="15" customHeight="1">
      <c r="B7" s="82">
        <v>2</v>
      </c>
      <c r="C7" s="82">
        <v>25</v>
      </c>
      <c r="D7" s="94" t="s">
        <v>162</v>
      </c>
      <c r="E7" s="82" t="s">
        <v>161</v>
      </c>
      <c r="F7" s="90">
        <v>2</v>
      </c>
      <c r="G7" s="90">
        <v>1</v>
      </c>
      <c r="H7" s="90">
        <v>14</v>
      </c>
      <c r="I7" s="90">
        <v>5</v>
      </c>
      <c r="J7" s="90">
        <v>3</v>
      </c>
      <c r="K7" s="90">
        <v>1</v>
      </c>
      <c r="L7" s="133">
        <v>26</v>
      </c>
      <c r="M7" s="134">
        <v>12</v>
      </c>
    </row>
    <row r="8" spans="2:13" ht="15" customHeight="1">
      <c r="B8" s="82">
        <v>3</v>
      </c>
      <c r="C8" s="82">
        <v>221</v>
      </c>
      <c r="D8" s="94" t="s">
        <v>211</v>
      </c>
      <c r="E8" s="82" t="s">
        <v>161</v>
      </c>
      <c r="F8" s="90">
        <v>7</v>
      </c>
      <c r="G8" s="90">
        <v>2</v>
      </c>
      <c r="H8" s="90">
        <v>3</v>
      </c>
      <c r="I8" s="90">
        <v>6</v>
      </c>
      <c r="J8" s="90">
        <v>8</v>
      </c>
      <c r="K8" s="90">
        <v>3</v>
      </c>
      <c r="L8" s="133">
        <v>29</v>
      </c>
      <c r="M8" s="134">
        <v>21</v>
      </c>
    </row>
    <row r="9" spans="2:13" ht="15" customHeight="1">
      <c r="B9" s="82">
        <v>4</v>
      </c>
      <c r="C9" s="82">
        <v>231</v>
      </c>
      <c r="D9" s="94" t="s">
        <v>224</v>
      </c>
      <c r="E9" s="82" t="s">
        <v>161</v>
      </c>
      <c r="F9" s="90">
        <v>13</v>
      </c>
      <c r="G9" s="90">
        <v>6</v>
      </c>
      <c r="H9" s="90">
        <v>2</v>
      </c>
      <c r="I9" s="90">
        <v>3</v>
      </c>
      <c r="J9" s="90">
        <v>2</v>
      </c>
      <c r="K9" s="90">
        <v>11</v>
      </c>
      <c r="L9" s="133">
        <v>37</v>
      </c>
      <c r="M9" s="134">
        <v>24</v>
      </c>
    </row>
    <row r="10" spans="2:13" ht="15" customHeight="1">
      <c r="B10" s="82">
        <v>5</v>
      </c>
      <c r="C10" s="82">
        <v>106</v>
      </c>
      <c r="D10" s="94" t="s">
        <v>311</v>
      </c>
      <c r="E10" s="82" t="s">
        <v>161</v>
      </c>
      <c r="F10" s="90">
        <v>5</v>
      </c>
      <c r="G10" s="90">
        <v>9</v>
      </c>
      <c r="H10" s="90">
        <v>8</v>
      </c>
      <c r="I10" s="90">
        <v>1</v>
      </c>
      <c r="J10" s="90">
        <v>5</v>
      </c>
      <c r="K10" s="90">
        <v>10</v>
      </c>
      <c r="L10" s="133">
        <v>38</v>
      </c>
      <c r="M10" s="134">
        <v>28</v>
      </c>
    </row>
    <row r="11" spans="2:13" ht="15" customHeight="1">
      <c r="B11" s="82">
        <v>6</v>
      </c>
      <c r="C11" s="82">
        <v>49</v>
      </c>
      <c r="D11" s="94" t="s">
        <v>321</v>
      </c>
      <c r="E11" s="82" t="s">
        <v>161</v>
      </c>
      <c r="F11" s="90">
        <v>3</v>
      </c>
      <c r="G11" s="90">
        <v>11</v>
      </c>
      <c r="H11" s="90">
        <v>5</v>
      </c>
      <c r="I11" s="90">
        <v>7</v>
      </c>
      <c r="J11" s="90">
        <v>4</v>
      </c>
      <c r="K11" s="90">
        <v>9</v>
      </c>
      <c r="L11" s="133">
        <v>39</v>
      </c>
      <c r="M11" s="134">
        <v>28</v>
      </c>
    </row>
    <row r="12" spans="2:13" ht="15" customHeight="1">
      <c r="B12" s="82">
        <v>7</v>
      </c>
      <c r="C12" s="82">
        <v>23</v>
      </c>
      <c r="D12" s="94" t="s">
        <v>309</v>
      </c>
      <c r="E12" s="82" t="s">
        <v>161</v>
      </c>
      <c r="F12" s="90" t="s">
        <v>324</v>
      </c>
      <c r="G12" s="90">
        <v>3</v>
      </c>
      <c r="H12" s="90">
        <v>11</v>
      </c>
      <c r="I12" s="90">
        <v>4</v>
      </c>
      <c r="J12" s="90">
        <v>6</v>
      </c>
      <c r="K12" s="90">
        <v>8</v>
      </c>
      <c r="L12" s="133">
        <v>54</v>
      </c>
      <c r="M12" s="134">
        <v>32</v>
      </c>
    </row>
    <row r="13" spans="2:13" ht="15" customHeight="1">
      <c r="B13" s="82">
        <v>8</v>
      </c>
      <c r="C13" s="82">
        <v>83</v>
      </c>
      <c r="D13" s="94" t="s">
        <v>326</v>
      </c>
      <c r="E13" s="82" t="s">
        <v>330</v>
      </c>
      <c r="F13" s="90">
        <v>6</v>
      </c>
      <c r="G13" s="90">
        <v>10</v>
      </c>
      <c r="H13" s="90">
        <v>7</v>
      </c>
      <c r="I13" s="90">
        <v>11</v>
      </c>
      <c r="J13" s="90">
        <v>9</v>
      </c>
      <c r="K13" s="90">
        <v>2</v>
      </c>
      <c r="L13" s="133">
        <v>45</v>
      </c>
      <c r="M13" s="134">
        <v>34</v>
      </c>
    </row>
    <row r="14" spans="2:13" ht="15" customHeight="1">
      <c r="B14" s="82">
        <v>9</v>
      </c>
      <c r="C14" s="82">
        <v>246</v>
      </c>
      <c r="D14" s="94" t="s">
        <v>163</v>
      </c>
      <c r="E14" s="82" t="s">
        <v>329</v>
      </c>
      <c r="F14" s="90">
        <v>4</v>
      </c>
      <c r="G14" s="90">
        <v>13</v>
      </c>
      <c r="H14" s="90">
        <v>4</v>
      </c>
      <c r="I14" s="90">
        <v>14</v>
      </c>
      <c r="J14" s="90">
        <v>11</v>
      </c>
      <c r="K14" s="90">
        <v>6</v>
      </c>
      <c r="L14" s="133">
        <v>52</v>
      </c>
      <c r="M14" s="134">
        <v>38</v>
      </c>
    </row>
    <row r="15" spans="2:13" ht="15" customHeight="1">
      <c r="B15" s="82">
        <v>10</v>
      </c>
      <c r="C15" s="82">
        <v>182</v>
      </c>
      <c r="D15" s="94" t="s">
        <v>164</v>
      </c>
      <c r="E15" s="82" t="s">
        <v>161</v>
      </c>
      <c r="F15" s="90">
        <v>10</v>
      </c>
      <c r="G15" s="90">
        <v>7</v>
      </c>
      <c r="H15" s="90">
        <v>9</v>
      </c>
      <c r="I15" s="90">
        <v>10</v>
      </c>
      <c r="J15" s="90">
        <v>7</v>
      </c>
      <c r="K15" s="90">
        <v>5</v>
      </c>
      <c r="L15" s="133">
        <v>48</v>
      </c>
      <c r="M15" s="134">
        <v>38</v>
      </c>
    </row>
    <row r="16" spans="2:13" ht="15" customHeight="1">
      <c r="B16" s="82">
        <v>11</v>
      </c>
      <c r="C16" s="82">
        <v>87</v>
      </c>
      <c r="D16" s="94" t="s">
        <v>327</v>
      </c>
      <c r="E16" s="82" t="s">
        <v>329</v>
      </c>
      <c r="F16" s="90">
        <v>12</v>
      </c>
      <c r="G16" s="90">
        <v>16</v>
      </c>
      <c r="H16" s="90">
        <v>6</v>
      </c>
      <c r="I16" s="90">
        <v>8</v>
      </c>
      <c r="J16" s="90">
        <v>10</v>
      </c>
      <c r="K16" s="90">
        <v>7</v>
      </c>
      <c r="L16" s="133">
        <v>59</v>
      </c>
      <c r="M16" s="134">
        <v>43</v>
      </c>
    </row>
    <row r="17" spans="2:13" ht="15" customHeight="1">
      <c r="B17" s="82">
        <v>12</v>
      </c>
      <c r="C17" s="82">
        <v>183</v>
      </c>
      <c r="D17" s="94" t="s">
        <v>223</v>
      </c>
      <c r="E17" s="82" t="s">
        <v>161</v>
      </c>
      <c r="F17" s="90">
        <v>11</v>
      </c>
      <c r="G17" s="90">
        <v>4</v>
      </c>
      <c r="H17" s="90">
        <v>12</v>
      </c>
      <c r="I17" s="90">
        <v>15</v>
      </c>
      <c r="J17" s="90">
        <v>15</v>
      </c>
      <c r="K17" s="90">
        <v>12</v>
      </c>
      <c r="L17" s="133">
        <v>69</v>
      </c>
      <c r="M17" s="134">
        <v>54</v>
      </c>
    </row>
    <row r="18" spans="2:13" ht="15" customHeight="1">
      <c r="B18" s="82">
        <v>13</v>
      </c>
      <c r="C18" s="82">
        <v>70</v>
      </c>
      <c r="D18" s="94" t="s">
        <v>331</v>
      </c>
      <c r="E18" s="82" t="s">
        <v>161</v>
      </c>
      <c r="F18" s="90">
        <v>9</v>
      </c>
      <c r="G18" s="90">
        <v>8</v>
      </c>
      <c r="H18" s="90">
        <v>15</v>
      </c>
      <c r="I18" s="90">
        <v>9</v>
      </c>
      <c r="J18" s="90">
        <v>16</v>
      </c>
      <c r="K18" s="90">
        <v>15</v>
      </c>
      <c r="L18" s="133">
        <v>72</v>
      </c>
      <c r="M18" s="134">
        <v>56</v>
      </c>
    </row>
    <row r="19" spans="2:13" ht="15" customHeight="1">
      <c r="B19" s="82">
        <v>14</v>
      </c>
      <c r="C19" s="82">
        <v>197</v>
      </c>
      <c r="D19" s="94" t="s">
        <v>215</v>
      </c>
      <c r="E19" s="82" t="s">
        <v>161</v>
      </c>
      <c r="F19" s="90">
        <v>8</v>
      </c>
      <c r="G19" s="90">
        <v>15</v>
      </c>
      <c r="H19" s="90">
        <v>10</v>
      </c>
      <c r="I19" s="90">
        <v>16</v>
      </c>
      <c r="J19" s="90">
        <v>13</v>
      </c>
      <c r="K19" s="90">
        <v>18</v>
      </c>
      <c r="L19" s="133">
        <v>80</v>
      </c>
      <c r="M19" s="134">
        <v>62</v>
      </c>
    </row>
    <row r="20" spans="2:13" ht="15" customHeight="1">
      <c r="B20" s="82">
        <v>15</v>
      </c>
      <c r="C20" s="82">
        <v>142</v>
      </c>
      <c r="D20" s="94" t="s">
        <v>214</v>
      </c>
      <c r="E20" s="82" t="s">
        <v>161</v>
      </c>
      <c r="F20" s="90">
        <v>16</v>
      </c>
      <c r="G20" s="90">
        <v>14</v>
      </c>
      <c r="H20" s="90">
        <v>13</v>
      </c>
      <c r="I20" s="90">
        <v>17</v>
      </c>
      <c r="J20" s="90">
        <v>12</v>
      </c>
      <c r="K20" s="90">
        <v>13</v>
      </c>
      <c r="L20" s="133">
        <v>85</v>
      </c>
      <c r="M20" s="134">
        <v>68</v>
      </c>
    </row>
    <row r="21" spans="2:13" ht="15" customHeight="1">
      <c r="B21" s="82">
        <v>16</v>
      </c>
      <c r="C21" s="82">
        <v>38</v>
      </c>
      <c r="D21" s="94" t="s">
        <v>208</v>
      </c>
      <c r="E21" s="82" t="s">
        <v>161</v>
      </c>
      <c r="F21" s="90">
        <v>14</v>
      </c>
      <c r="G21" s="90">
        <v>12</v>
      </c>
      <c r="H21" s="90">
        <v>16</v>
      </c>
      <c r="I21" s="90">
        <v>19</v>
      </c>
      <c r="J21" s="90" t="s">
        <v>165</v>
      </c>
      <c r="K21" s="90">
        <v>17</v>
      </c>
      <c r="L21" s="133">
        <v>100</v>
      </c>
      <c r="M21" s="134">
        <v>78</v>
      </c>
    </row>
    <row r="22" spans="2:15" ht="15" customHeight="1">
      <c r="B22" s="82">
        <v>17</v>
      </c>
      <c r="C22" s="82">
        <v>54</v>
      </c>
      <c r="D22" s="94" t="s">
        <v>219</v>
      </c>
      <c r="E22" s="82" t="s">
        <v>161</v>
      </c>
      <c r="F22" s="90" t="s">
        <v>166</v>
      </c>
      <c r="G22" s="90" t="s">
        <v>166</v>
      </c>
      <c r="H22" s="90" t="s">
        <v>166</v>
      </c>
      <c r="I22" s="90">
        <v>12</v>
      </c>
      <c r="J22" s="90">
        <v>14</v>
      </c>
      <c r="K22" s="90">
        <v>14</v>
      </c>
      <c r="L22" s="133">
        <v>106</v>
      </c>
      <c r="M22" s="134">
        <v>84</v>
      </c>
      <c r="O22" s="79" t="s">
        <v>7</v>
      </c>
    </row>
    <row r="23" spans="2:13" ht="15" customHeight="1">
      <c r="B23" s="82">
        <v>18</v>
      </c>
      <c r="C23" s="82">
        <v>117</v>
      </c>
      <c r="D23" s="94" t="s">
        <v>209</v>
      </c>
      <c r="E23" s="82" t="s">
        <v>161</v>
      </c>
      <c r="F23" s="90">
        <v>18</v>
      </c>
      <c r="G23" s="90">
        <v>17</v>
      </c>
      <c r="H23" s="90">
        <v>17</v>
      </c>
      <c r="I23" s="90">
        <v>18</v>
      </c>
      <c r="J23" s="90">
        <v>18</v>
      </c>
      <c r="K23" s="90">
        <v>16</v>
      </c>
      <c r="L23" s="133">
        <v>104</v>
      </c>
      <c r="M23" s="134">
        <v>86</v>
      </c>
    </row>
    <row r="24" spans="2:13" ht="15" customHeight="1">
      <c r="B24" s="82">
        <v>19</v>
      </c>
      <c r="C24" s="82">
        <v>5</v>
      </c>
      <c r="D24" s="94" t="s">
        <v>212</v>
      </c>
      <c r="E24" s="82" t="s">
        <v>161</v>
      </c>
      <c r="F24" s="90">
        <v>17</v>
      </c>
      <c r="G24" s="90">
        <v>18</v>
      </c>
      <c r="H24" s="90" t="s">
        <v>94</v>
      </c>
      <c r="I24" s="90">
        <v>13</v>
      </c>
      <c r="J24" s="90">
        <v>17</v>
      </c>
      <c r="K24" s="90" t="s">
        <v>166</v>
      </c>
      <c r="L24" s="133">
        <v>109</v>
      </c>
      <c r="M24" s="134">
        <v>87</v>
      </c>
    </row>
    <row r="25" spans="2:13" ht="15" customHeight="1">
      <c r="B25" s="82">
        <v>20</v>
      </c>
      <c r="C25" s="82">
        <v>41</v>
      </c>
      <c r="D25" s="94" t="s">
        <v>222</v>
      </c>
      <c r="E25" s="82" t="s">
        <v>161</v>
      </c>
      <c r="F25" s="90">
        <v>15</v>
      </c>
      <c r="G25" s="90" t="s">
        <v>103</v>
      </c>
      <c r="H25" s="90" t="s">
        <v>94</v>
      </c>
      <c r="I25" s="90" t="s">
        <v>166</v>
      </c>
      <c r="J25" s="90" t="s">
        <v>166</v>
      </c>
      <c r="K25" s="90" t="s">
        <v>166</v>
      </c>
      <c r="L25" s="133">
        <v>125</v>
      </c>
      <c r="M25" s="134">
        <v>103</v>
      </c>
    </row>
    <row r="26" spans="2:13" ht="15" customHeight="1">
      <c r="B26" s="84">
        <v>21</v>
      </c>
      <c r="C26" s="84">
        <v>16</v>
      </c>
      <c r="D26" s="95" t="s">
        <v>221</v>
      </c>
      <c r="E26" s="84" t="s">
        <v>161</v>
      </c>
      <c r="F26" s="97" t="s">
        <v>103</v>
      </c>
      <c r="G26" s="97" t="s">
        <v>94</v>
      </c>
      <c r="H26" s="97" t="s">
        <v>94</v>
      </c>
      <c r="I26" s="97" t="s">
        <v>166</v>
      </c>
      <c r="J26" s="97" t="s">
        <v>166</v>
      </c>
      <c r="K26" s="97" t="s">
        <v>166</v>
      </c>
      <c r="L26" s="135">
        <v>132</v>
      </c>
      <c r="M26" s="136">
        <v>110</v>
      </c>
    </row>
    <row r="27" ht="15" customHeight="1">
      <c r="K27" s="78" t="s">
        <v>7</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27"/>
  <dimension ref="A1:AP37"/>
  <sheetViews>
    <sheetView zoomScalePageLayoutView="0" workbookViewId="0" topLeftCell="B1">
      <selection activeCell="G1" sqref="G1"/>
    </sheetView>
  </sheetViews>
  <sheetFormatPr defaultColWidth="9.140625" defaultRowHeight="12.75"/>
  <cols>
    <col min="1" max="1" width="3.57421875" style="28" bestFit="1" customWidth="1"/>
    <col min="2" max="2" width="2.421875" style="28" customWidth="1"/>
    <col min="3" max="3" width="5.28125" style="28" customWidth="1"/>
    <col min="4" max="4" width="33.00390625" style="28" customWidth="1"/>
    <col min="5" max="5" width="3.8515625" style="25" customWidth="1"/>
    <col min="6" max="6" width="3.28125" style="26" customWidth="1"/>
    <col min="7" max="7" width="9.140625" style="27" customWidth="1"/>
    <col min="8" max="11" width="5.140625" style="28" customWidth="1"/>
    <col min="12" max="42" width="4.140625" style="28" customWidth="1"/>
    <col min="43" max="16384" width="9.140625" style="28" customWidth="1"/>
  </cols>
  <sheetData>
    <row r="1" spans="1:26" ht="11.25">
      <c r="A1" s="28" t="s">
        <v>7</v>
      </c>
      <c r="Z1" s="28" t="s">
        <v>7</v>
      </c>
    </row>
    <row r="2" ht="11.25">
      <c r="D2" s="24" t="s">
        <v>306</v>
      </c>
    </row>
    <row r="3" ht="11.25">
      <c r="D3" s="28" t="s">
        <v>500</v>
      </c>
    </row>
    <row r="4" spans="4:42" ht="11.25">
      <c r="D4" s="28" t="s">
        <v>499</v>
      </c>
      <c r="H4" s="29" t="s">
        <v>104</v>
      </c>
      <c r="I4" s="30"/>
      <c r="J4" s="30"/>
      <c r="K4" s="30"/>
      <c r="L4" s="30"/>
      <c r="M4" s="30"/>
      <c r="N4" s="30"/>
      <c r="O4" s="30"/>
      <c r="P4" s="30"/>
      <c r="Q4" s="30"/>
      <c r="R4" s="31"/>
      <c r="AA4" s="29" t="s">
        <v>105</v>
      </c>
      <c r="AB4" s="30"/>
      <c r="AC4" s="30"/>
      <c r="AD4" s="50"/>
      <c r="AE4" s="50"/>
      <c r="AF4" s="50"/>
      <c r="AG4" s="50"/>
      <c r="AH4" s="50"/>
      <c r="AI4" s="50"/>
      <c r="AJ4" s="50"/>
      <c r="AK4" s="30"/>
      <c r="AL4" s="30"/>
      <c r="AM4" s="50"/>
      <c r="AN4" s="50"/>
      <c r="AO4" s="30"/>
      <c r="AP4" s="31"/>
    </row>
    <row r="5" spans="4:42" ht="11.25">
      <c r="D5" s="192" t="s">
        <v>543</v>
      </c>
      <c r="H5" s="235" t="s">
        <v>113</v>
      </c>
      <c r="I5" s="236"/>
      <c r="J5" s="236"/>
      <c r="K5" s="237"/>
      <c r="L5" s="54" t="s">
        <v>320</v>
      </c>
      <c r="M5" s="54" t="s">
        <v>117</v>
      </c>
      <c r="N5" s="54" t="s">
        <v>116</v>
      </c>
      <c r="O5" s="235" t="s">
        <v>118</v>
      </c>
      <c r="P5" s="236"/>
      <c r="Q5" s="236"/>
      <c r="R5" s="237"/>
      <c r="S5" s="235" t="s">
        <v>92</v>
      </c>
      <c r="T5" s="236"/>
      <c r="U5" s="236"/>
      <c r="V5" s="236"/>
      <c r="W5" s="236"/>
      <c r="X5" s="236"/>
      <c r="Y5" s="236"/>
      <c r="Z5" s="236"/>
      <c r="AA5" s="54" t="s">
        <v>116</v>
      </c>
      <c r="AB5" s="235" t="s">
        <v>353</v>
      </c>
      <c r="AC5" s="236"/>
      <c r="AD5" s="235" t="s">
        <v>355</v>
      </c>
      <c r="AE5" s="236"/>
      <c r="AF5" s="236"/>
      <c r="AG5" s="236"/>
      <c r="AH5" s="236"/>
      <c r="AI5" s="236"/>
      <c r="AJ5" s="237"/>
      <c r="AK5" s="236" t="s">
        <v>117</v>
      </c>
      <c r="AL5" s="236"/>
      <c r="AM5" s="235" t="s">
        <v>544</v>
      </c>
      <c r="AN5" s="237"/>
      <c r="AO5" s="235" t="s">
        <v>463</v>
      </c>
      <c r="AP5" s="237"/>
    </row>
    <row r="6" spans="3:42" ht="11.25">
      <c r="C6" s="38"/>
      <c r="D6" s="127"/>
      <c r="E6" s="106"/>
      <c r="F6" s="116"/>
      <c r="G6" s="117" t="s">
        <v>0</v>
      </c>
      <c r="H6" s="63" t="s">
        <v>99</v>
      </c>
      <c r="I6" s="42" t="s">
        <v>99</v>
      </c>
      <c r="J6" s="42" t="s">
        <v>99</v>
      </c>
      <c r="K6" s="42" t="s">
        <v>235</v>
      </c>
      <c r="L6" s="42" t="s">
        <v>99</v>
      </c>
      <c r="M6" s="42" t="s">
        <v>99</v>
      </c>
      <c r="N6" s="42" t="s">
        <v>322</v>
      </c>
      <c r="O6" s="42"/>
      <c r="P6" s="42"/>
      <c r="Q6" s="42"/>
      <c r="R6" s="42"/>
      <c r="S6" s="42" t="s">
        <v>99</v>
      </c>
      <c r="T6" s="42" t="s">
        <v>99</v>
      </c>
      <c r="U6" s="42" t="s">
        <v>99</v>
      </c>
      <c r="V6" s="42" t="s">
        <v>322</v>
      </c>
      <c r="W6" s="42" t="s">
        <v>235</v>
      </c>
      <c r="X6" s="42" t="s">
        <v>99</v>
      </c>
      <c r="Y6" s="42" t="s">
        <v>99</v>
      </c>
      <c r="Z6" s="42" t="s">
        <v>235</v>
      </c>
      <c r="AA6" s="42" t="s">
        <v>322</v>
      </c>
      <c r="AB6" s="42" t="s">
        <v>322</v>
      </c>
      <c r="AC6" s="42" t="s">
        <v>322</v>
      </c>
      <c r="AD6" s="42" t="s">
        <v>99</v>
      </c>
      <c r="AE6" s="42" t="s">
        <v>99</v>
      </c>
      <c r="AF6" s="42" t="s">
        <v>99</v>
      </c>
      <c r="AG6" s="42" t="s">
        <v>99</v>
      </c>
      <c r="AH6" s="42" t="s">
        <v>99</v>
      </c>
      <c r="AI6" s="42" t="s">
        <v>99</v>
      </c>
      <c r="AJ6" s="42" t="s">
        <v>99</v>
      </c>
      <c r="AK6" s="42"/>
      <c r="AL6" s="42"/>
      <c r="AM6" s="42"/>
      <c r="AN6" s="42"/>
      <c r="AO6" s="42"/>
      <c r="AP6" s="42"/>
    </row>
    <row r="7" spans="3:42" ht="11.25">
      <c r="C7" s="40"/>
      <c r="D7" s="64"/>
      <c r="E7" s="57"/>
      <c r="F7" s="118"/>
      <c r="G7" s="119" t="s">
        <v>1</v>
      </c>
      <c r="H7" s="113">
        <v>190</v>
      </c>
      <c r="I7" s="43">
        <v>190</v>
      </c>
      <c r="J7" s="43">
        <v>330</v>
      </c>
      <c r="K7" s="43">
        <v>330</v>
      </c>
      <c r="L7" s="42">
        <v>180</v>
      </c>
      <c r="M7" s="42">
        <v>230</v>
      </c>
      <c r="N7" s="42">
        <v>130</v>
      </c>
      <c r="O7" s="42"/>
      <c r="P7" s="42"/>
      <c r="Q7" s="42"/>
      <c r="R7" s="42"/>
      <c r="S7" s="42">
        <v>85</v>
      </c>
      <c r="T7" s="42">
        <v>85</v>
      </c>
      <c r="U7" s="42">
        <v>85</v>
      </c>
      <c r="V7" s="42">
        <v>90</v>
      </c>
      <c r="W7" s="42">
        <v>135</v>
      </c>
      <c r="X7" s="42">
        <v>10</v>
      </c>
      <c r="Y7" s="42">
        <v>10</v>
      </c>
      <c r="Z7" s="42">
        <v>170</v>
      </c>
      <c r="AA7" s="42">
        <v>135</v>
      </c>
      <c r="AB7" s="42">
        <v>300</v>
      </c>
      <c r="AC7" s="42">
        <v>300</v>
      </c>
      <c r="AD7" s="42">
        <v>175</v>
      </c>
      <c r="AE7" s="42">
        <v>175</v>
      </c>
      <c r="AF7" s="42">
        <v>175</v>
      </c>
      <c r="AG7" s="42">
        <v>175</v>
      </c>
      <c r="AH7" s="42">
        <v>175</v>
      </c>
      <c r="AI7" s="42">
        <v>175</v>
      </c>
      <c r="AJ7" s="42">
        <v>175</v>
      </c>
      <c r="AK7" s="42"/>
      <c r="AL7" s="42"/>
      <c r="AM7" s="42"/>
      <c r="AN7" s="42"/>
      <c r="AO7" s="42"/>
      <c r="AP7" s="42"/>
    </row>
    <row r="8" spans="3:42" ht="11.25">
      <c r="C8" s="40"/>
      <c r="D8" s="64"/>
      <c r="E8" s="57"/>
      <c r="F8" s="118"/>
      <c r="G8" s="119" t="s">
        <v>2</v>
      </c>
      <c r="H8" s="63">
        <v>12</v>
      </c>
      <c r="I8" s="42">
        <v>20</v>
      </c>
      <c r="J8" s="45" t="s">
        <v>168</v>
      </c>
      <c r="K8" s="44" t="s">
        <v>167</v>
      </c>
      <c r="L8" s="112">
        <v>5</v>
      </c>
      <c r="M8" s="44">
        <v>5</v>
      </c>
      <c r="N8" s="44">
        <v>5</v>
      </c>
      <c r="O8" s="44"/>
      <c r="P8" s="44"/>
      <c r="Q8" s="44"/>
      <c r="R8" s="44"/>
      <c r="S8" s="44">
        <v>10</v>
      </c>
      <c r="T8" s="44">
        <v>10</v>
      </c>
      <c r="U8" s="44">
        <v>12</v>
      </c>
      <c r="V8" s="44">
        <v>5</v>
      </c>
      <c r="W8" s="44">
        <v>3</v>
      </c>
      <c r="X8" s="44">
        <v>20</v>
      </c>
      <c r="Y8" s="44">
        <v>15</v>
      </c>
      <c r="Z8" s="44">
        <v>2</v>
      </c>
      <c r="AA8" s="44">
        <v>2</v>
      </c>
      <c r="AB8" s="44">
        <v>2</v>
      </c>
      <c r="AC8" s="44">
        <v>1</v>
      </c>
      <c r="AD8" s="44">
        <v>15</v>
      </c>
      <c r="AE8" s="44">
        <v>15</v>
      </c>
      <c r="AF8" s="44">
        <v>15</v>
      </c>
      <c r="AG8" s="44">
        <v>15</v>
      </c>
      <c r="AH8" s="44">
        <v>10</v>
      </c>
      <c r="AI8" s="44">
        <v>8</v>
      </c>
      <c r="AJ8" s="44">
        <v>5</v>
      </c>
      <c r="AK8" s="44"/>
      <c r="AL8" s="44"/>
      <c r="AM8" s="44"/>
      <c r="AN8" s="44"/>
      <c r="AO8" s="44"/>
      <c r="AP8" s="44"/>
    </row>
    <row r="9" spans="3:42" ht="11.25">
      <c r="C9" s="61"/>
      <c r="D9" s="128"/>
      <c r="E9" s="57">
        <f>COUNTIF($H9:AP9,"&gt;0")</f>
        <v>35</v>
      </c>
      <c r="F9" s="120"/>
      <c r="G9" s="121" t="s">
        <v>3</v>
      </c>
      <c r="H9" s="63">
        <v>12</v>
      </c>
      <c r="I9" s="42">
        <v>12</v>
      </c>
      <c r="J9" s="42">
        <v>11</v>
      </c>
      <c r="K9" s="42">
        <v>11</v>
      </c>
      <c r="L9" s="42">
        <v>13</v>
      </c>
      <c r="M9" s="42">
        <v>11</v>
      </c>
      <c r="N9" s="42">
        <v>12</v>
      </c>
      <c r="O9" s="42">
        <v>10</v>
      </c>
      <c r="P9" s="42">
        <v>10</v>
      </c>
      <c r="Q9" s="42">
        <v>9</v>
      </c>
      <c r="R9" s="42">
        <v>7</v>
      </c>
      <c r="S9" s="42">
        <v>15</v>
      </c>
      <c r="T9" s="42">
        <v>15</v>
      </c>
      <c r="U9" s="42">
        <v>15</v>
      </c>
      <c r="V9" s="42">
        <v>17</v>
      </c>
      <c r="W9" s="42">
        <v>16</v>
      </c>
      <c r="X9" s="42">
        <v>17</v>
      </c>
      <c r="Y9" s="42">
        <v>16</v>
      </c>
      <c r="Z9" s="42">
        <v>15</v>
      </c>
      <c r="AA9" s="42">
        <v>13</v>
      </c>
      <c r="AB9" s="42">
        <v>8</v>
      </c>
      <c r="AC9" s="42">
        <v>8</v>
      </c>
      <c r="AD9" s="42">
        <v>8</v>
      </c>
      <c r="AE9" s="42">
        <v>8</v>
      </c>
      <c r="AF9" s="42">
        <v>7</v>
      </c>
      <c r="AG9" s="42">
        <v>7</v>
      </c>
      <c r="AH9" s="42">
        <v>8</v>
      </c>
      <c r="AI9" s="42">
        <v>8</v>
      </c>
      <c r="AJ9" s="42">
        <v>7</v>
      </c>
      <c r="AK9" s="42">
        <v>6</v>
      </c>
      <c r="AL9" s="42">
        <v>4</v>
      </c>
      <c r="AM9" s="42">
        <v>5</v>
      </c>
      <c r="AN9" s="42">
        <v>4</v>
      </c>
      <c r="AO9" s="42">
        <v>7</v>
      </c>
      <c r="AP9" s="42">
        <v>6</v>
      </c>
    </row>
    <row r="10" spans="3:42" ht="37.5">
      <c r="C10" s="42" t="s">
        <v>256</v>
      </c>
      <c r="D10" s="125" t="s">
        <v>227</v>
      </c>
      <c r="E10" s="150" t="s">
        <v>4</v>
      </c>
      <c r="F10" s="150" t="s">
        <v>5</v>
      </c>
      <c r="G10" s="152" t="s">
        <v>6</v>
      </c>
      <c r="H10" s="37">
        <v>38135</v>
      </c>
      <c r="I10" s="37">
        <v>38135</v>
      </c>
      <c r="J10" s="37">
        <v>38136</v>
      </c>
      <c r="K10" s="37">
        <v>38136</v>
      </c>
      <c r="L10" s="37">
        <v>38142</v>
      </c>
      <c r="M10" s="37">
        <v>38149</v>
      </c>
      <c r="N10" s="37">
        <v>38156</v>
      </c>
      <c r="O10" s="37">
        <v>38170</v>
      </c>
      <c r="P10" s="37">
        <v>38170</v>
      </c>
      <c r="Q10" s="37">
        <v>38171</v>
      </c>
      <c r="R10" s="37">
        <v>38171</v>
      </c>
      <c r="S10" s="37">
        <v>38184</v>
      </c>
      <c r="T10" s="37">
        <v>38184</v>
      </c>
      <c r="U10" s="37">
        <v>38184</v>
      </c>
      <c r="V10" s="37">
        <v>38185</v>
      </c>
      <c r="W10" s="37">
        <v>38185</v>
      </c>
      <c r="X10" s="37">
        <v>38191</v>
      </c>
      <c r="Y10" s="37">
        <v>38191</v>
      </c>
      <c r="Z10" s="37">
        <v>38192</v>
      </c>
      <c r="AA10" s="37">
        <v>38205</v>
      </c>
      <c r="AB10" s="37">
        <v>38219</v>
      </c>
      <c r="AC10" s="37">
        <v>38219</v>
      </c>
      <c r="AD10" s="37">
        <v>38226</v>
      </c>
      <c r="AE10" s="37">
        <v>38226</v>
      </c>
      <c r="AF10" s="37">
        <v>38226</v>
      </c>
      <c r="AG10" s="37">
        <v>38226</v>
      </c>
      <c r="AH10" s="37">
        <v>38227</v>
      </c>
      <c r="AI10" s="37">
        <v>38227</v>
      </c>
      <c r="AJ10" s="37">
        <v>38227</v>
      </c>
      <c r="AK10" s="37">
        <v>38233</v>
      </c>
      <c r="AL10" s="37">
        <v>38233</v>
      </c>
      <c r="AM10" s="37">
        <v>38261</v>
      </c>
      <c r="AN10" s="37">
        <v>38261</v>
      </c>
      <c r="AO10" s="37">
        <v>38269</v>
      </c>
      <c r="AP10" s="37">
        <v>38269</v>
      </c>
    </row>
    <row r="11" spans="2:42" ht="11.25">
      <c r="B11" s="28">
        <v>1</v>
      </c>
      <c r="C11" s="39">
        <v>25</v>
      </c>
      <c r="D11" s="38" t="s">
        <v>162</v>
      </c>
      <c r="E11" s="218">
        <f aca="true" t="shared" si="0" ref="E11:E30">COUNTA(H11:AP11)</f>
        <v>31</v>
      </c>
      <c r="F11" s="49">
        <v>0</v>
      </c>
      <c r="G11" s="215">
        <f>C_S_G($H11:AP11,$H$9:AP$9,csg_table,E$9,F11)</f>
        <v>0.878726833199033</v>
      </c>
      <c r="H11" s="49">
        <v>1</v>
      </c>
      <c r="I11" s="49">
        <v>2</v>
      </c>
      <c r="J11" s="49">
        <v>7</v>
      </c>
      <c r="K11" s="49">
        <v>4</v>
      </c>
      <c r="L11" s="49">
        <v>2</v>
      </c>
      <c r="M11" s="49">
        <v>6</v>
      </c>
      <c r="N11" s="49">
        <v>2</v>
      </c>
      <c r="O11" s="49">
        <v>4</v>
      </c>
      <c r="P11" s="49">
        <v>1</v>
      </c>
      <c r="Q11" s="49">
        <v>1</v>
      </c>
      <c r="R11" s="49">
        <v>2</v>
      </c>
      <c r="S11" s="49">
        <v>6</v>
      </c>
      <c r="T11" s="49">
        <v>1</v>
      </c>
      <c r="U11" s="49">
        <v>4</v>
      </c>
      <c r="V11" s="49">
        <v>3</v>
      </c>
      <c r="W11" s="49">
        <v>3</v>
      </c>
      <c r="X11" s="49">
        <v>4</v>
      </c>
      <c r="Y11" s="49">
        <v>8</v>
      </c>
      <c r="Z11" s="49">
        <v>4</v>
      </c>
      <c r="AA11" s="49">
        <v>8</v>
      </c>
      <c r="AB11" s="49">
        <v>5</v>
      </c>
      <c r="AC11" s="49">
        <v>1</v>
      </c>
      <c r="AD11" s="49">
        <v>3</v>
      </c>
      <c r="AE11" s="49">
        <v>3</v>
      </c>
      <c r="AF11" s="49">
        <v>6</v>
      </c>
      <c r="AG11" s="49">
        <v>1</v>
      </c>
      <c r="AH11" s="49">
        <v>3</v>
      </c>
      <c r="AI11" s="49">
        <v>2</v>
      </c>
      <c r="AJ11" s="49">
        <v>1</v>
      </c>
      <c r="AK11" s="49"/>
      <c r="AL11" s="49"/>
      <c r="AM11" s="49">
        <v>1</v>
      </c>
      <c r="AN11" s="49">
        <v>2</v>
      </c>
      <c r="AO11" s="49"/>
      <c r="AP11" s="49"/>
    </row>
    <row r="12" spans="2:42" ht="11.25">
      <c r="B12" s="28">
        <v>2</v>
      </c>
      <c r="C12" s="41">
        <v>23</v>
      </c>
      <c r="D12" s="40" t="s">
        <v>487</v>
      </c>
      <c r="E12" s="219">
        <f t="shared" si="0"/>
        <v>26</v>
      </c>
      <c r="F12" s="33">
        <v>0</v>
      </c>
      <c r="G12" s="216">
        <f>C_S_G($H12:AP12,$H$9:AP$9,csg_table,E$9,F12)</f>
        <v>0.864100185528757</v>
      </c>
      <c r="H12" s="33">
        <v>4</v>
      </c>
      <c r="I12" s="33">
        <v>3</v>
      </c>
      <c r="J12" s="33">
        <v>3</v>
      </c>
      <c r="K12" s="33">
        <v>2</v>
      </c>
      <c r="L12" s="33">
        <v>4</v>
      </c>
      <c r="M12" s="33">
        <v>3</v>
      </c>
      <c r="N12" s="33"/>
      <c r="O12" s="33">
        <v>1</v>
      </c>
      <c r="P12" s="33">
        <v>4</v>
      </c>
      <c r="Q12" s="33">
        <v>2</v>
      </c>
      <c r="R12" s="33">
        <v>1</v>
      </c>
      <c r="S12" s="33">
        <v>5</v>
      </c>
      <c r="T12" s="33">
        <v>2</v>
      </c>
      <c r="U12" s="33">
        <v>7</v>
      </c>
      <c r="V12" s="33">
        <v>12</v>
      </c>
      <c r="W12" s="33">
        <v>4</v>
      </c>
      <c r="X12" s="33">
        <v>1</v>
      </c>
      <c r="Y12" s="33">
        <v>4</v>
      </c>
      <c r="Z12" s="33">
        <v>6</v>
      </c>
      <c r="AA12" s="33">
        <v>11</v>
      </c>
      <c r="AB12" s="33"/>
      <c r="AC12" s="33"/>
      <c r="AD12" s="33">
        <v>6</v>
      </c>
      <c r="AE12" s="33">
        <v>1</v>
      </c>
      <c r="AF12" s="33">
        <v>2</v>
      </c>
      <c r="AG12" s="33">
        <v>2</v>
      </c>
      <c r="AH12" s="33">
        <v>1</v>
      </c>
      <c r="AI12" s="33">
        <v>3</v>
      </c>
      <c r="AJ12" s="33">
        <v>4</v>
      </c>
      <c r="AK12" s="33"/>
      <c r="AL12" s="33"/>
      <c r="AM12" s="33"/>
      <c r="AN12" s="33"/>
      <c r="AO12" s="33"/>
      <c r="AP12" s="33"/>
    </row>
    <row r="13" spans="2:42" ht="11.25">
      <c r="B13" s="28">
        <v>3</v>
      </c>
      <c r="C13" s="41">
        <v>106</v>
      </c>
      <c r="D13" s="40" t="s">
        <v>311</v>
      </c>
      <c r="E13" s="219">
        <f t="shared" si="0"/>
        <v>19</v>
      </c>
      <c r="F13" s="33">
        <v>0</v>
      </c>
      <c r="G13" s="216">
        <f>C_S_G($H13:AP13,$H$9:AP$9,csg_table,E$9,F13)</f>
        <v>0.8382352941176471</v>
      </c>
      <c r="H13" s="33">
        <v>3</v>
      </c>
      <c r="I13" s="33">
        <v>6</v>
      </c>
      <c r="J13" s="33">
        <v>6</v>
      </c>
      <c r="K13" s="33">
        <v>3</v>
      </c>
      <c r="L13" s="33">
        <v>3</v>
      </c>
      <c r="M13" s="33">
        <v>1</v>
      </c>
      <c r="N13" s="33">
        <v>3</v>
      </c>
      <c r="O13" s="33">
        <v>5</v>
      </c>
      <c r="P13" s="33" t="s">
        <v>103</v>
      </c>
      <c r="Q13" s="33"/>
      <c r="R13" s="33"/>
      <c r="S13" s="33">
        <v>4</v>
      </c>
      <c r="T13" s="33">
        <v>7</v>
      </c>
      <c r="U13" s="33">
        <v>3</v>
      </c>
      <c r="V13" s="33">
        <v>4</v>
      </c>
      <c r="W13" s="33">
        <v>2</v>
      </c>
      <c r="X13" s="33">
        <v>10</v>
      </c>
      <c r="Y13" s="33">
        <v>2</v>
      </c>
      <c r="Z13" s="33">
        <v>5</v>
      </c>
      <c r="AA13" s="33"/>
      <c r="AB13" s="33"/>
      <c r="AC13" s="33"/>
      <c r="AD13" s="33"/>
      <c r="AE13" s="33"/>
      <c r="AF13" s="33"/>
      <c r="AG13" s="33"/>
      <c r="AH13" s="33"/>
      <c r="AI13" s="33"/>
      <c r="AJ13" s="33"/>
      <c r="AK13" s="33">
        <v>4</v>
      </c>
      <c r="AL13" s="33">
        <v>2</v>
      </c>
      <c r="AM13" s="33"/>
      <c r="AN13" s="33"/>
      <c r="AO13" s="33"/>
      <c r="AP13" s="33"/>
    </row>
    <row r="14" spans="2:42" ht="11.25">
      <c r="B14" s="28">
        <v>4</v>
      </c>
      <c r="C14" s="41">
        <v>182</v>
      </c>
      <c r="D14" s="40" t="s">
        <v>164</v>
      </c>
      <c r="E14" s="219">
        <f t="shared" si="0"/>
        <v>23</v>
      </c>
      <c r="F14" s="33">
        <v>0</v>
      </c>
      <c r="G14" s="216">
        <f>C_S_G($H14:AP14,$H$9:AP$9,csg_table,E$9,F14)</f>
        <v>0.8320935175345378</v>
      </c>
      <c r="H14" s="33">
        <v>5</v>
      </c>
      <c r="I14" s="33">
        <v>5</v>
      </c>
      <c r="J14" s="33"/>
      <c r="K14" s="33"/>
      <c r="L14" s="33"/>
      <c r="M14" s="33">
        <v>4</v>
      </c>
      <c r="N14" s="33"/>
      <c r="O14" s="33">
        <v>6</v>
      </c>
      <c r="P14" s="33">
        <v>2</v>
      </c>
      <c r="Q14" s="33"/>
      <c r="R14" s="33"/>
      <c r="S14" s="33">
        <v>9</v>
      </c>
      <c r="T14" s="33">
        <v>5</v>
      </c>
      <c r="U14" s="33">
        <v>8</v>
      </c>
      <c r="V14" s="33">
        <v>10</v>
      </c>
      <c r="W14" s="33">
        <v>11</v>
      </c>
      <c r="X14" s="33">
        <v>3</v>
      </c>
      <c r="Y14" s="33">
        <v>1</v>
      </c>
      <c r="Z14" s="33">
        <v>7</v>
      </c>
      <c r="AA14" s="33">
        <v>5</v>
      </c>
      <c r="AB14" s="33"/>
      <c r="AC14" s="33"/>
      <c r="AD14" s="33">
        <v>1</v>
      </c>
      <c r="AE14" s="33">
        <v>2</v>
      </c>
      <c r="AF14" s="33">
        <v>3</v>
      </c>
      <c r="AG14" s="33">
        <v>3</v>
      </c>
      <c r="AH14" s="33">
        <v>2</v>
      </c>
      <c r="AI14" s="33">
        <v>4</v>
      </c>
      <c r="AJ14" s="33">
        <v>2</v>
      </c>
      <c r="AK14" s="33"/>
      <c r="AL14" s="33"/>
      <c r="AM14" s="33"/>
      <c r="AN14" s="33"/>
      <c r="AO14" s="33">
        <v>3</v>
      </c>
      <c r="AP14" s="33">
        <v>2</v>
      </c>
    </row>
    <row r="15" spans="2:42" ht="11.25">
      <c r="B15" s="28">
        <v>5</v>
      </c>
      <c r="C15" s="41">
        <v>176</v>
      </c>
      <c r="D15" s="40" t="s">
        <v>333</v>
      </c>
      <c r="E15" s="219">
        <f t="shared" si="0"/>
        <v>29</v>
      </c>
      <c r="F15" s="33">
        <v>0</v>
      </c>
      <c r="G15" s="216">
        <f>C_S_G($H15:AP15,$H$9:AP$9,csg_table,E$9,F15)</f>
        <v>0.7743825868564252</v>
      </c>
      <c r="H15" s="33">
        <v>6</v>
      </c>
      <c r="I15" s="33">
        <v>10</v>
      </c>
      <c r="J15" s="33">
        <v>2</v>
      </c>
      <c r="K15" s="33">
        <v>7</v>
      </c>
      <c r="L15" s="33">
        <v>7</v>
      </c>
      <c r="M15" s="33">
        <v>8</v>
      </c>
      <c r="N15" s="33">
        <v>7</v>
      </c>
      <c r="O15" s="33">
        <v>3</v>
      </c>
      <c r="P15" s="33">
        <v>5</v>
      </c>
      <c r="Q15" s="33">
        <v>3</v>
      </c>
      <c r="R15" s="33">
        <v>3</v>
      </c>
      <c r="S15" s="33">
        <v>7</v>
      </c>
      <c r="T15" s="33">
        <v>9</v>
      </c>
      <c r="U15" s="33" t="s">
        <v>233</v>
      </c>
      <c r="V15" s="33">
        <v>5</v>
      </c>
      <c r="W15" s="33">
        <v>10</v>
      </c>
      <c r="X15" s="33">
        <v>9</v>
      </c>
      <c r="Y15" s="33">
        <v>5</v>
      </c>
      <c r="Z15" s="33">
        <v>10</v>
      </c>
      <c r="AA15" s="33">
        <v>4</v>
      </c>
      <c r="AB15" s="33">
        <v>1</v>
      </c>
      <c r="AC15" s="33">
        <v>2</v>
      </c>
      <c r="AD15" s="33">
        <v>5</v>
      </c>
      <c r="AE15" s="33">
        <v>6</v>
      </c>
      <c r="AF15" s="33">
        <v>7</v>
      </c>
      <c r="AG15" s="33">
        <v>5</v>
      </c>
      <c r="AH15" s="33">
        <v>4</v>
      </c>
      <c r="AI15" s="33">
        <v>5</v>
      </c>
      <c r="AJ15" s="33">
        <v>6</v>
      </c>
      <c r="AK15" s="33"/>
      <c r="AL15" s="33"/>
      <c r="AM15" s="33"/>
      <c r="AN15" s="33"/>
      <c r="AO15" s="33"/>
      <c r="AP15" s="33"/>
    </row>
    <row r="16" spans="2:42" ht="11.25">
      <c r="B16" s="28">
        <v>6</v>
      </c>
      <c r="C16" s="41">
        <v>142</v>
      </c>
      <c r="D16" s="40" t="s">
        <v>214</v>
      </c>
      <c r="E16" s="219">
        <f t="shared" si="0"/>
        <v>27</v>
      </c>
      <c r="F16" s="33">
        <v>0</v>
      </c>
      <c r="G16" s="216">
        <f>C_S_G($H16:AP16,$H$9:AP$9,csg_table,E$9,F16)</f>
        <v>0.766531713900135</v>
      </c>
      <c r="H16" s="33">
        <v>7</v>
      </c>
      <c r="I16" s="33">
        <v>7</v>
      </c>
      <c r="J16" s="33">
        <v>10</v>
      </c>
      <c r="K16" s="33">
        <v>8</v>
      </c>
      <c r="L16" s="33">
        <v>8</v>
      </c>
      <c r="M16" s="33"/>
      <c r="N16" s="33">
        <v>5</v>
      </c>
      <c r="O16" s="33">
        <v>7</v>
      </c>
      <c r="P16" s="33">
        <v>3</v>
      </c>
      <c r="Q16" s="33"/>
      <c r="R16" s="33"/>
      <c r="S16" s="33">
        <v>11</v>
      </c>
      <c r="T16" s="33">
        <v>8</v>
      </c>
      <c r="U16" s="33" t="s">
        <v>233</v>
      </c>
      <c r="V16" s="33">
        <v>11</v>
      </c>
      <c r="W16" s="33">
        <v>1</v>
      </c>
      <c r="X16" s="33">
        <v>17</v>
      </c>
      <c r="Y16" s="33">
        <v>12</v>
      </c>
      <c r="Z16" s="33">
        <v>13</v>
      </c>
      <c r="AA16" s="33">
        <v>10</v>
      </c>
      <c r="AB16" s="33">
        <v>7</v>
      </c>
      <c r="AC16" s="33">
        <v>4</v>
      </c>
      <c r="AD16" s="33">
        <v>2</v>
      </c>
      <c r="AE16" s="33">
        <v>4</v>
      </c>
      <c r="AF16" s="33">
        <v>1</v>
      </c>
      <c r="AG16" s="33">
        <v>4</v>
      </c>
      <c r="AH16" s="33">
        <v>5</v>
      </c>
      <c r="AI16" s="33">
        <v>1</v>
      </c>
      <c r="AJ16" s="33">
        <v>3</v>
      </c>
      <c r="AK16" s="33">
        <v>1</v>
      </c>
      <c r="AL16" s="33"/>
      <c r="AM16" s="33"/>
      <c r="AN16" s="33"/>
      <c r="AO16" s="33"/>
      <c r="AP16" s="33"/>
    </row>
    <row r="17" spans="2:42" ht="11.25">
      <c r="B17" s="28">
        <v>7</v>
      </c>
      <c r="C17" s="41">
        <v>70</v>
      </c>
      <c r="D17" s="40" t="s">
        <v>213</v>
      </c>
      <c r="E17" s="219">
        <f t="shared" si="0"/>
        <v>25</v>
      </c>
      <c r="F17" s="33">
        <v>0</v>
      </c>
      <c r="G17" s="216">
        <f>C_S_G($H17:AP17,$H$9:AP$9,csg_table,E$9,F17)</f>
        <v>0.7528901734104047</v>
      </c>
      <c r="H17" s="33">
        <v>11</v>
      </c>
      <c r="I17" s="33">
        <v>4</v>
      </c>
      <c r="J17" s="33">
        <v>8</v>
      </c>
      <c r="K17" s="33">
        <v>10</v>
      </c>
      <c r="L17" s="33">
        <v>6</v>
      </c>
      <c r="M17" s="33">
        <v>2</v>
      </c>
      <c r="N17" s="33">
        <v>6</v>
      </c>
      <c r="O17" s="33">
        <v>2</v>
      </c>
      <c r="P17" s="33">
        <v>6</v>
      </c>
      <c r="Q17" s="33">
        <v>4</v>
      </c>
      <c r="R17" s="33">
        <v>4</v>
      </c>
      <c r="S17" s="33">
        <v>12</v>
      </c>
      <c r="T17" s="33">
        <v>13</v>
      </c>
      <c r="U17" s="33">
        <v>11</v>
      </c>
      <c r="V17" s="33">
        <v>7</v>
      </c>
      <c r="W17" s="33">
        <v>9</v>
      </c>
      <c r="X17" s="33">
        <v>5</v>
      </c>
      <c r="Y17" s="33">
        <v>7</v>
      </c>
      <c r="Z17" s="33">
        <v>11</v>
      </c>
      <c r="AA17" s="33">
        <v>9</v>
      </c>
      <c r="AB17" s="33">
        <v>4</v>
      </c>
      <c r="AC17" s="33">
        <v>6</v>
      </c>
      <c r="AD17" s="33"/>
      <c r="AE17" s="33"/>
      <c r="AF17" s="33"/>
      <c r="AG17" s="33"/>
      <c r="AH17" s="33"/>
      <c r="AI17" s="33"/>
      <c r="AJ17" s="33"/>
      <c r="AK17" s="33">
        <v>3</v>
      </c>
      <c r="AL17" s="33">
        <v>3</v>
      </c>
      <c r="AM17" s="33"/>
      <c r="AN17" s="33"/>
      <c r="AO17" s="33" t="s">
        <v>103</v>
      </c>
      <c r="AP17" s="33"/>
    </row>
    <row r="18" spans="2:42" ht="11.25">
      <c r="B18" s="28">
        <v>8</v>
      </c>
      <c r="C18" s="41">
        <v>183</v>
      </c>
      <c r="D18" s="40" t="s">
        <v>223</v>
      </c>
      <c r="E18" s="219">
        <f t="shared" si="0"/>
        <v>20</v>
      </c>
      <c r="F18" s="33">
        <v>0</v>
      </c>
      <c r="G18" s="216">
        <f>C_S_G($H18:AP18,$H$9:AP$9,csg_table,E$9,F18)</f>
        <v>0.7436801881246325</v>
      </c>
      <c r="H18" s="33">
        <v>8</v>
      </c>
      <c r="I18" s="33">
        <v>9</v>
      </c>
      <c r="J18" s="33">
        <v>1</v>
      </c>
      <c r="K18" s="33">
        <v>5</v>
      </c>
      <c r="L18" s="33">
        <v>9</v>
      </c>
      <c r="M18" s="33"/>
      <c r="N18" s="33">
        <v>1</v>
      </c>
      <c r="O18" s="33"/>
      <c r="P18" s="33"/>
      <c r="Q18" s="33"/>
      <c r="R18" s="33"/>
      <c r="S18" s="33">
        <v>10</v>
      </c>
      <c r="T18" s="33">
        <v>11</v>
      </c>
      <c r="U18" s="33">
        <v>12</v>
      </c>
      <c r="V18" s="33">
        <v>6</v>
      </c>
      <c r="W18" s="33">
        <v>7</v>
      </c>
      <c r="X18" s="33">
        <v>13</v>
      </c>
      <c r="Y18" s="33">
        <v>13</v>
      </c>
      <c r="Z18" s="33">
        <v>8</v>
      </c>
      <c r="AA18" s="33"/>
      <c r="AB18" s="33"/>
      <c r="AC18" s="33"/>
      <c r="AD18" s="33">
        <v>4</v>
      </c>
      <c r="AE18" s="33">
        <v>7</v>
      </c>
      <c r="AF18" s="33">
        <v>5</v>
      </c>
      <c r="AG18" s="33">
        <v>7</v>
      </c>
      <c r="AH18" s="33">
        <v>6</v>
      </c>
      <c r="AI18" s="33">
        <v>8</v>
      </c>
      <c r="AJ18" s="33"/>
      <c r="AK18" s="33"/>
      <c r="AL18" s="33"/>
      <c r="AM18" s="33"/>
      <c r="AN18" s="33"/>
      <c r="AO18" s="33"/>
      <c r="AP18" s="33"/>
    </row>
    <row r="19" spans="2:42" ht="11.25">
      <c r="B19" s="28">
        <v>9</v>
      </c>
      <c r="C19" s="41">
        <v>197</v>
      </c>
      <c r="D19" s="40" t="s">
        <v>215</v>
      </c>
      <c r="E19" s="219">
        <f t="shared" si="0"/>
        <v>18</v>
      </c>
      <c r="F19" s="33">
        <v>0</v>
      </c>
      <c r="G19" s="216">
        <f>C_S_G($H19:AP19,$H$9:AP$9,csg_table,E$9,F19)</f>
        <v>0.7058441558441558</v>
      </c>
      <c r="H19" s="33">
        <v>9</v>
      </c>
      <c r="I19" s="33">
        <v>8</v>
      </c>
      <c r="J19" s="33">
        <v>9</v>
      </c>
      <c r="K19" s="33">
        <v>11</v>
      </c>
      <c r="L19" s="33">
        <v>10</v>
      </c>
      <c r="M19" s="33">
        <v>7</v>
      </c>
      <c r="N19" s="33"/>
      <c r="O19" s="33"/>
      <c r="P19" s="33"/>
      <c r="Q19" s="33">
        <v>5</v>
      </c>
      <c r="R19" s="33">
        <v>5</v>
      </c>
      <c r="S19" s="33">
        <v>8</v>
      </c>
      <c r="T19" s="33">
        <v>12</v>
      </c>
      <c r="U19" s="33">
        <v>10</v>
      </c>
      <c r="V19" s="33">
        <v>15</v>
      </c>
      <c r="W19" s="33"/>
      <c r="X19" s="33">
        <v>12</v>
      </c>
      <c r="Y19" s="33">
        <v>9</v>
      </c>
      <c r="Z19" s="33">
        <v>9</v>
      </c>
      <c r="AA19" s="33">
        <v>7</v>
      </c>
      <c r="AB19" s="33"/>
      <c r="AC19" s="33"/>
      <c r="AD19" s="33"/>
      <c r="AE19" s="33"/>
      <c r="AF19" s="33"/>
      <c r="AG19" s="33"/>
      <c r="AH19" s="33"/>
      <c r="AI19" s="33"/>
      <c r="AJ19" s="33"/>
      <c r="AK19" s="33"/>
      <c r="AL19" s="33"/>
      <c r="AM19" s="33"/>
      <c r="AN19" s="33"/>
      <c r="AO19" s="33">
        <v>6</v>
      </c>
      <c r="AP19" s="33">
        <v>5</v>
      </c>
    </row>
    <row r="20" spans="2:42" ht="11.25">
      <c r="B20" s="28">
        <v>10</v>
      </c>
      <c r="C20" s="41">
        <v>117</v>
      </c>
      <c r="D20" s="40" t="s">
        <v>209</v>
      </c>
      <c r="E20" s="219">
        <f t="shared" si="0"/>
        <v>27</v>
      </c>
      <c r="F20" s="33">
        <v>0</v>
      </c>
      <c r="G20" s="216">
        <f>C_S_G($H20:AP20,$H$9:AP$9,csg_table,E$9,F20)</f>
        <v>0.6900943396226416</v>
      </c>
      <c r="H20" s="33">
        <v>12</v>
      </c>
      <c r="I20" s="33">
        <v>12</v>
      </c>
      <c r="J20" s="33">
        <v>11</v>
      </c>
      <c r="K20" s="33">
        <v>9</v>
      </c>
      <c r="L20" s="33"/>
      <c r="M20" s="33">
        <v>5</v>
      </c>
      <c r="N20" s="33">
        <v>10</v>
      </c>
      <c r="O20" s="33">
        <v>10</v>
      </c>
      <c r="P20" s="33">
        <v>7</v>
      </c>
      <c r="Q20" s="33">
        <v>9</v>
      </c>
      <c r="R20" s="33">
        <v>7</v>
      </c>
      <c r="S20" s="33"/>
      <c r="T20" s="33"/>
      <c r="U20" s="33"/>
      <c r="V20" s="33">
        <v>13</v>
      </c>
      <c r="W20" s="33">
        <v>14</v>
      </c>
      <c r="X20" s="33">
        <v>15</v>
      </c>
      <c r="Y20" s="33">
        <v>15</v>
      </c>
      <c r="Z20" s="33">
        <v>12</v>
      </c>
      <c r="AA20" s="33" t="s">
        <v>103</v>
      </c>
      <c r="AB20" s="33">
        <v>2</v>
      </c>
      <c r="AC20" s="33">
        <v>5</v>
      </c>
      <c r="AD20" s="33">
        <v>7</v>
      </c>
      <c r="AE20" s="33">
        <v>5</v>
      </c>
      <c r="AF20" s="33">
        <v>4</v>
      </c>
      <c r="AG20" s="33">
        <v>6</v>
      </c>
      <c r="AH20" s="33">
        <v>7</v>
      </c>
      <c r="AI20" s="33">
        <v>6</v>
      </c>
      <c r="AJ20" s="33">
        <v>5</v>
      </c>
      <c r="AK20" s="33">
        <v>5</v>
      </c>
      <c r="AL20" s="33">
        <v>4</v>
      </c>
      <c r="AM20" s="33"/>
      <c r="AN20" s="33"/>
      <c r="AO20" s="33"/>
      <c r="AP20" s="33"/>
    </row>
    <row r="21" spans="2:42" ht="11.25">
      <c r="B21" s="28">
        <v>11</v>
      </c>
      <c r="C21" s="51">
        <v>38</v>
      </c>
      <c r="D21" s="61" t="s">
        <v>208</v>
      </c>
      <c r="E21" s="220">
        <f t="shared" si="0"/>
        <v>20</v>
      </c>
      <c r="F21" s="35">
        <v>0</v>
      </c>
      <c r="G21" s="217">
        <f>C_S_G($H21:AP21,$H$9:AP$9,csg_table,E$9,F21)</f>
        <v>0.657601977750309</v>
      </c>
      <c r="H21" s="35"/>
      <c r="I21" s="35"/>
      <c r="J21" s="35"/>
      <c r="K21" s="35"/>
      <c r="L21" s="35">
        <v>11</v>
      </c>
      <c r="M21" s="35">
        <v>10</v>
      </c>
      <c r="N21" s="35">
        <v>12</v>
      </c>
      <c r="O21" s="35">
        <v>9</v>
      </c>
      <c r="P21" s="35" t="s">
        <v>103</v>
      </c>
      <c r="Q21" s="35">
        <v>7</v>
      </c>
      <c r="R21" s="35"/>
      <c r="S21" s="35">
        <v>15</v>
      </c>
      <c r="T21" s="35">
        <v>14</v>
      </c>
      <c r="U21" s="35">
        <v>13</v>
      </c>
      <c r="V21" s="35"/>
      <c r="W21" s="35"/>
      <c r="X21" s="35">
        <v>16</v>
      </c>
      <c r="Y21" s="35">
        <v>16</v>
      </c>
      <c r="Z21" s="35"/>
      <c r="AA21" s="35">
        <v>12</v>
      </c>
      <c r="AB21" s="35">
        <v>8</v>
      </c>
      <c r="AC21" s="35">
        <v>7</v>
      </c>
      <c r="AD21" s="35"/>
      <c r="AE21" s="35"/>
      <c r="AF21" s="35"/>
      <c r="AG21" s="35"/>
      <c r="AH21" s="35">
        <v>8</v>
      </c>
      <c r="AI21" s="35">
        <v>7</v>
      </c>
      <c r="AJ21" s="35">
        <v>7</v>
      </c>
      <c r="AK21" s="35" t="s">
        <v>103</v>
      </c>
      <c r="AL21" s="35"/>
      <c r="AM21" s="35"/>
      <c r="AN21" s="35"/>
      <c r="AO21" s="35">
        <v>5</v>
      </c>
      <c r="AP21" s="35" t="s">
        <v>103</v>
      </c>
    </row>
    <row r="22" spans="3:42" ht="11.25">
      <c r="C22" s="41">
        <v>239</v>
      </c>
      <c r="D22" s="40" t="s">
        <v>464</v>
      </c>
      <c r="E22" s="219">
        <f t="shared" si="0"/>
        <v>2</v>
      </c>
      <c r="F22" s="33">
        <v>0</v>
      </c>
      <c r="G22" s="216">
        <f>C_S_G($H22:AP22,$H$9:AP$9,csg_table,E$9,F22)</f>
        <v>1</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v>1</v>
      </c>
      <c r="AP22" s="33">
        <v>1</v>
      </c>
    </row>
    <row r="23" spans="3:42" ht="11.25">
      <c r="C23" s="41">
        <v>231</v>
      </c>
      <c r="D23" s="40" t="s">
        <v>224</v>
      </c>
      <c r="E23" s="219">
        <f t="shared" si="0"/>
        <v>16</v>
      </c>
      <c r="F23" s="33">
        <v>0</v>
      </c>
      <c r="G23" s="216">
        <f>C_S_G($H23:AP23,$H$9:AP$9,csg_table,E$9,F23)</f>
        <v>0.8872</v>
      </c>
      <c r="H23" s="33"/>
      <c r="I23" s="33"/>
      <c r="J23" s="33"/>
      <c r="K23" s="33"/>
      <c r="L23" s="33">
        <v>1</v>
      </c>
      <c r="M23" s="33"/>
      <c r="N23" s="33">
        <v>8</v>
      </c>
      <c r="O23" s="33"/>
      <c r="P23" s="33"/>
      <c r="Q23" s="33"/>
      <c r="R23" s="33"/>
      <c r="S23" s="33">
        <v>1</v>
      </c>
      <c r="T23" s="33">
        <v>6</v>
      </c>
      <c r="U23" s="33">
        <v>2</v>
      </c>
      <c r="V23" s="33">
        <v>2</v>
      </c>
      <c r="W23" s="33">
        <v>5</v>
      </c>
      <c r="X23" s="33">
        <v>2</v>
      </c>
      <c r="Y23" s="33">
        <v>3</v>
      </c>
      <c r="Z23" s="33">
        <v>2</v>
      </c>
      <c r="AA23" s="33">
        <v>6</v>
      </c>
      <c r="AB23" s="33"/>
      <c r="AC23" s="33"/>
      <c r="AD23" s="33"/>
      <c r="AE23" s="33"/>
      <c r="AF23" s="33"/>
      <c r="AG23" s="33" t="s">
        <v>7</v>
      </c>
      <c r="AH23" s="33"/>
      <c r="AI23" s="33"/>
      <c r="AJ23" s="33"/>
      <c r="AK23" s="33"/>
      <c r="AL23" s="33"/>
      <c r="AM23" s="33">
        <v>2</v>
      </c>
      <c r="AN23" s="33">
        <v>1</v>
      </c>
      <c r="AO23" s="33">
        <v>2</v>
      </c>
      <c r="AP23" s="33">
        <v>4</v>
      </c>
    </row>
    <row r="24" spans="3:42" ht="11.25">
      <c r="C24" s="41">
        <v>49</v>
      </c>
      <c r="D24" s="40" t="s">
        <v>332</v>
      </c>
      <c r="E24" s="219">
        <f t="shared" si="0"/>
        <v>14</v>
      </c>
      <c r="F24" s="33">
        <v>0</v>
      </c>
      <c r="G24" s="216">
        <f>C_S_G($H24:AP24,$H$9:AP$9,csg_table,E$9,F24)</f>
        <v>0.846875</v>
      </c>
      <c r="H24" s="33">
        <v>2</v>
      </c>
      <c r="I24" s="33">
        <v>1</v>
      </c>
      <c r="J24" s="33">
        <v>4</v>
      </c>
      <c r="K24" s="33">
        <v>1</v>
      </c>
      <c r="L24" s="33">
        <v>5</v>
      </c>
      <c r="M24" s="33"/>
      <c r="N24" s="33">
        <v>4</v>
      </c>
      <c r="O24" s="33"/>
      <c r="P24" s="33"/>
      <c r="Q24" s="33"/>
      <c r="R24" s="33"/>
      <c r="S24" s="33">
        <v>2</v>
      </c>
      <c r="T24" s="33" t="s">
        <v>233</v>
      </c>
      <c r="U24" s="33">
        <v>6</v>
      </c>
      <c r="V24" s="33">
        <v>1</v>
      </c>
      <c r="W24" s="33" t="s">
        <v>324</v>
      </c>
      <c r="X24" s="33">
        <v>8</v>
      </c>
      <c r="Y24" s="33">
        <v>6</v>
      </c>
      <c r="Z24" s="33"/>
      <c r="AA24" s="33">
        <v>1</v>
      </c>
      <c r="AB24" s="33"/>
      <c r="AC24" s="33"/>
      <c r="AD24" s="33"/>
      <c r="AE24" s="33"/>
      <c r="AF24" s="33"/>
      <c r="AG24" s="33"/>
      <c r="AH24" s="33"/>
      <c r="AI24" s="33"/>
      <c r="AJ24" s="33"/>
      <c r="AK24" s="33"/>
      <c r="AL24" s="33"/>
      <c r="AM24" s="33"/>
      <c r="AN24" s="33"/>
      <c r="AO24" s="33"/>
      <c r="AP24" s="33"/>
    </row>
    <row r="25" spans="3:42" ht="11.25">
      <c r="C25" s="41">
        <v>221</v>
      </c>
      <c r="D25" s="40" t="s">
        <v>211</v>
      </c>
      <c r="E25" s="219">
        <f t="shared" si="0"/>
        <v>15</v>
      </c>
      <c r="F25" s="33">
        <v>0</v>
      </c>
      <c r="G25" s="216">
        <f>C_S_G($H25:AP25,$H$9:AP$9,csg_table,E$9,F25)</f>
        <v>0.835043409629045</v>
      </c>
      <c r="H25" s="33"/>
      <c r="I25" s="33"/>
      <c r="J25" s="33">
        <v>5</v>
      </c>
      <c r="K25" s="33">
        <v>6</v>
      </c>
      <c r="L25" s="33"/>
      <c r="M25" s="33"/>
      <c r="N25" s="33"/>
      <c r="O25" s="33"/>
      <c r="P25" s="33"/>
      <c r="Q25" s="33"/>
      <c r="R25" s="33"/>
      <c r="S25" s="33">
        <v>3</v>
      </c>
      <c r="T25" s="33">
        <v>3</v>
      </c>
      <c r="U25" s="33">
        <v>5</v>
      </c>
      <c r="V25" s="33">
        <v>14</v>
      </c>
      <c r="W25" s="33">
        <v>6</v>
      </c>
      <c r="X25" s="33">
        <v>6</v>
      </c>
      <c r="Y25" s="33">
        <v>10</v>
      </c>
      <c r="Z25" s="33">
        <v>1</v>
      </c>
      <c r="AA25" s="33">
        <v>2</v>
      </c>
      <c r="AB25" s="33">
        <v>3</v>
      </c>
      <c r="AC25" s="33">
        <v>3</v>
      </c>
      <c r="AD25" s="33"/>
      <c r="AE25" s="33"/>
      <c r="AF25" s="33"/>
      <c r="AG25" s="33"/>
      <c r="AH25" s="33"/>
      <c r="AI25" s="33"/>
      <c r="AJ25" s="33"/>
      <c r="AK25" s="33">
        <v>2</v>
      </c>
      <c r="AL25" s="33">
        <v>1</v>
      </c>
      <c r="AM25" s="33"/>
      <c r="AN25" s="33"/>
      <c r="AO25" s="33"/>
      <c r="AP25" s="33"/>
    </row>
    <row r="26" spans="3:42" ht="11.25">
      <c r="C26" s="41">
        <v>26</v>
      </c>
      <c r="D26" s="40" t="s">
        <v>217</v>
      </c>
      <c r="E26" s="219">
        <f t="shared" si="0"/>
        <v>7</v>
      </c>
      <c r="F26" s="33">
        <v>0</v>
      </c>
      <c r="G26" s="216">
        <f>C_S_G($H26:AP26,$H$9:AP$9,csg_table,E$9,F26)</f>
        <v>0.7912912912912913</v>
      </c>
      <c r="H26" s="33"/>
      <c r="I26" s="33"/>
      <c r="J26" s="33"/>
      <c r="K26" s="33"/>
      <c r="L26" s="33"/>
      <c r="M26" s="33"/>
      <c r="N26" s="33"/>
      <c r="O26" s="33"/>
      <c r="P26" s="33"/>
      <c r="Q26" s="33"/>
      <c r="R26" s="33"/>
      <c r="S26" s="33">
        <v>14</v>
      </c>
      <c r="T26" s="33">
        <v>4</v>
      </c>
      <c r="U26" s="33">
        <v>1</v>
      </c>
      <c r="V26" s="33">
        <v>8</v>
      </c>
      <c r="W26" s="33">
        <v>13</v>
      </c>
      <c r="X26" s="33">
        <v>7</v>
      </c>
      <c r="Y26" s="33"/>
      <c r="Z26" s="33">
        <v>3</v>
      </c>
      <c r="AA26" s="33"/>
      <c r="AB26" s="33"/>
      <c r="AC26" s="33"/>
      <c r="AD26" s="33"/>
      <c r="AE26" s="33"/>
      <c r="AF26" s="33"/>
      <c r="AG26" s="33"/>
      <c r="AH26" s="33"/>
      <c r="AI26" s="33"/>
      <c r="AJ26" s="33"/>
      <c r="AK26" s="33"/>
      <c r="AL26" s="33"/>
      <c r="AM26" s="33"/>
      <c r="AN26" s="33"/>
      <c r="AO26" s="33"/>
      <c r="AP26" s="33"/>
    </row>
    <row r="27" spans="3:42" ht="11.25">
      <c r="C27" s="41">
        <v>41</v>
      </c>
      <c r="D27" s="40" t="s">
        <v>222</v>
      </c>
      <c r="E27" s="219">
        <f t="shared" si="0"/>
        <v>17</v>
      </c>
      <c r="F27" s="33">
        <v>0</v>
      </c>
      <c r="G27" s="216">
        <f>C_S_G($H27:AP27,$H$9:AP$9,csg_table,E$9,F27)</f>
        <v>0.7100346020761246</v>
      </c>
      <c r="H27" s="33"/>
      <c r="I27" s="33"/>
      <c r="J27" s="33"/>
      <c r="K27" s="33"/>
      <c r="L27" s="33"/>
      <c r="M27" s="33"/>
      <c r="N27" s="33">
        <v>9</v>
      </c>
      <c r="O27" s="33">
        <v>8</v>
      </c>
      <c r="P27" s="33">
        <v>8</v>
      </c>
      <c r="Q27" s="33">
        <v>8</v>
      </c>
      <c r="R27" s="33"/>
      <c r="S27" s="33">
        <v>13</v>
      </c>
      <c r="T27" s="33">
        <v>10</v>
      </c>
      <c r="U27" s="33">
        <v>9</v>
      </c>
      <c r="V27" s="33">
        <v>9</v>
      </c>
      <c r="W27" s="33">
        <v>8</v>
      </c>
      <c r="X27" s="33">
        <v>14</v>
      </c>
      <c r="Y27" s="33">
        <v>14</v>
      </c>
      <c r="Z27" s="33">
        <v>14</v>
      </c>
      <c r="AA27" s="33">
        <v>3</v>
      </c>
      <c r="AB27" s="33">
        <v>6</v>
      </c>
      <c r="AC27" s="33">
        <v>8</v>
      </c>
      <c r="AD27" s="33"/>
      <c r="AE27" s="33"/>
      <c r="AF27" s="33"/>
      <c r="AG27" s="33"/>
      <c r="AH27" s="33"/>
      <c r="AI27" s="33"/>
      <c r="AJ27" s="33"/>
      <c r="AK27" s="33"/>
      <c r="AL27" s="33"/>
      <c r="AM27" s="33"/>
      <c r="AN27" s="33"/>
      <c r="AO27" s="33">
        <v>4</v>
      </c>
      <c r="AP27" s="33">
        <v>3</v>
      </c>
    </row>
    <row r="28" spans="3:42" ht="11.25">
      <c r="C28" s="41">
        <v>5</v>
      </c>
      <c r="D28" s="40" t="s">
        <v>212</v>
      </c>
      <c r="E28" s="219">
        <f t="shared" si="0"/>
        <v>9</v>
      </c>
      <c r="F28" s="33">
        <v>0</v>
      </c>
      <c r="G28" s="216">
        <f>C_S_G($H28:AP28,$H$9:AP$9,csg_table,E$9,F28)</f>
        <v>0.6689655172413793</v>
      </c>
      <c r="H28" s="33">
        <v>10</v>
      </c>
      <c r="I28" s="33">
        <v>11</v>
      </c>
      <c r="J28" s="33"/>
      <c r="K28" s="33"/>
      <c r="L28" s="33">
        <v>12</v>
      </c>
      <c r="M28" s="33">
        <v>11</v>
      </c>
      <c r="N28" s="33">
        <v>11</v>
      </c>
      <c r="O28" s="33"/>
      <c r="P28" s="33"/>
      <c r="Q28" s="33">
        <v>6</v>
      </c>
      <c r="R28" s="33">
        <v>6</v>
      </c>
      <c r="S28" s="33"/>
      <c r="T28" s="33"/>
      <c r="U28" s="33"/>
      <c r="V28" s="33"/>
      <c r="W28" s="33"/>
      <c r="X28" s="33"/>
      <c r="Y28" s="33"/>
      <c r="Z28" s="33"/>
      <c r="AA28" s="33"/>
      <c r="AB28" s="33"/>
      <c r="AC28" s="33"/>
      <c r="AD28" s="33">
        <v>8</v>
      </c>
      <c r="AE28" s="33" t="s">
        <v>103</v>
      </c>
      <c r="AF28" s="33"/>
      <c r="AG28" s="33"/>
      <c r="AH28" s="33"/>
      <c r="AI28" s="33"/>
      <c r="AJ28" s="33"/>
      <c r="AK28" s="33"/>
      <c r="AL28" s="33"/>
      <c r="AM28" s="33"/>
      <c r="AN28" s="33"/>
      <c r="AO28" s="33"/>
      <c r="AP28" s="33"/>
    </row>
    <row r="29" spans="3:42" ht="11.25">
      <c r="C29" s="41">
        <v>83</v>
      </c>
      <c r="D29" s="40" t="s">
        <v>326</v>
      </c>
      <c r="E29" s="219">
        <f t="shared" si="0"/>
        <v>4</v>
      </c>
      <c r="F29" s="33">
        <v>0</v>
      </c>
      <c r="G29" s="216">
        <f>C_S_G($H29:AP29,$H$9:AP$9,csg_table,E$9,F29)</f>
        <v>0.6658031088082902</v>
      </c>
      <c r="H29" s="33"/>
      <c r="I29" s="33"/>
      <c r="J29" s="33"/>
      <c r="K29" s="33"/>
      <c r="L29" s="33"/>
      <c r="M29" s="33"/>
      <c r="N29" s="33"/>
      <c r="O29" s="33"/>
      <c r="P29" s="33"/>
      <c r="Q29" s="33"/>
      <c r="R29" s="33"/>
      <c r="S29" s="33"/>
      <c r="T29" s="33"/>
      <c r="U29" s="33"/>
      <c r="V29" s="33">
        <v>16</v>
      </c>
      <c r="W29" s="33">
        <v>12</v>
      </c>
      <c r="X29" s="33">
        <v>11</v>
      </c>
      <c r="Y29" s="33">
        <v>11</v>
      </c>
      <c r="Z29" s="33"/>
      <c r="AA29" s="33"/>
      <c r="AB29" s="33"/>
      <c r="AC29" s="33"/>
      <c r="AD29" s="33"/>
      <c r="AE29" s="33"/>
      <c r="AF29" s="33"/>
      <c r="AG29" s="33"/>
      <c r="AH29" s="33"/>
      <c r="AI29" s="33"/>
      <c r="AJ29" s="33"/>
      <c r="AK29" s="33"/>
      <c r="AL29" s="33"/>
      <c r="AM29" s="33"/>
      <c r="AN29" s="33"/>
      <c r="AO29" s="33"/>
      <c r="AP29" s="33"/>
    </row>
    <row r="30" spans="3:42" ht="11.25">
      <c r="C30" s="51">
        <v>16</v>
      </c>
      <c r="D30" s="61" t="s">
        <v>221</v>
      </c>
      <c r="E30" s="220">
        <f t="shared" si="0"/>
        <v>5</v>
      </c>
      <c r="F30" s="35">
        <v>0</v>
      </c>
      <c r="G30" s="217">
        <f>C_S_G($H30:AP30,$H$9:AP$9,csg_table,E$9,F30)</f>
        <v>0.6306695464362851</v>
      </c>
      <c r="H30" s="35"/>
      <c r="I30" s="35"/>
      <c r="J30" s="35"/>
      <c r="K30" s="35"/>
      <c r="L30" s="35">
        <v>13</v>
      </c>
      <c r="M30" s="35">
        <v>9</v>
      </c>
      <c r="N30" s="35"/>
      <c r="O30" s="35"/>
      <c r="P30" s="35"/>
      <c r="Q30" s="35"/>
      <c r="R30" s="35"/>
      <c r="S30" s="35"/>
      <c r="T30" s="35"/>
      <c r="U30" s="35"/>
      <c r="V30" s="35">
        <v>17</v>
      </c>
      <c r="W30" s="35">
        <v>15</v>
      </c>
      <c r="X30" s="35"/>
      <c r="Y30" s="35"/>
      <c r="Z30" s="35" t="s">
        <v>103</v>
      </c>
      <c r="AA30" s="35"/>
      <c r="AB30" s="35"/>
      <c r="AC30" s="35"/>
      <c r="AD30" s="35"/>
      <c r="AE30" s="35"/>
      <c r="AF30" s="35"/>
      <c r="AG30" s="35"/>
      <c r="AH30" s="35"/>
      <c r="AI30" s="35"/>
      <c r="AJ30" s="35"/>
      <c r="AK30" s="35"/>
      <c r="AL30" s="35"/>
      <c r="AM30" s="35"/>
      <c r="AN30" s="35"/>
      <c r="AO30" s="35"/>
      <c r="AP30" s="35"/>
    </row>
    <row r="31" ht="11.25">
      <c r="N31" s="28" t="s">
        <v>7</v>
      </c>
    </row>
    <row r="32" ht="11.25">
      <c r="D32" s="28" t="s">
        <v>539</v>
      </c>
    </row>
    <row r="33" ht="11.25">
      <c r="D33" s="28" t="s">
        <v>545</v>
      </c>
    </row>
    <row r="34" ht="11.25">
      <c r="D34" s="137" t="s">
        <v>546</v>
      </c>
    </row>
    <row r="35" ht="11.25">
      <c r="D35" s="28" t="s">
        <v>540</v>
      </c>
    </row>
    <row r="36" ht="11.25">
      <c r="D36" s="28" t="s">
        <v>541</v>
      </c>
    </row>
    <row r="37" ht="11.25">
      <c r="D37" s="28" t="s">
        <v>542</v>
      </c>
    </row>
  </sheetData>
  <sheetProtection/>
  <mergeCells count="8">
    <mergeCell ref="AD5:AJ5"/>
    <mergeCell ref="AK5:AL5"/>
    <mergeCell ref="AM5:AN5"/>
    <mergeCell ref="AO5:AP5"/>
    <mergeCell ref="H5:K5"/>
    <mergeCell ref="O5:R5"/>
    <mergeCell ref="S5:Z5"/>
    <mergeCell ref="AB5:AC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Cox-Sprague Scoring Calculator</dc:title>
  <dc:subject/>
  <dc:creator>Witold Gesing</dc:creator>
  <cp:keywords/>
  <dc:description>'This program computes a series score for a yacht participating in a series of n_races with m_discards using the modified Cox-Sprague Scoring System.
 Proprietary Notice:
This software was developed by Witold Gesing.
 File was simplified and minor bugs fixed by John Coffey 2/25/01
 This software may be copied and re-distributed freely.
To protect the innocent, please clearly identify and document any changes,  improvements, modifications or additions.</dc:description>
  <cp:lastModifiedBy>w</cp:lastModifiedBy>
  <cp:lastPrinted>2005-10-11T14:52:45Z</cp:lastPrinted>
  <dcterms:created xsi:type="dcterms:W3CDTF">1999-10-05T15:00:35Z</dcterms:created>
  <dcterms:modified xsi:type="dcterms:W3CDTF">2021-07-14T18:22:38Z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